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609" activeTab="0"/>
  </bookViews>
  <sheets>
    <sheet name="районный" sheetId="1" r:id="rId1"/>
    <sheet name="консолидированный" sheetId="2" r:id="rId2"/>
  </sheets>
  <definedNames>
    <definedName name="_xlnm.Print_Area" localSheetId="0">'районный'!$A$1:$E$195</definedName>
  </definedNames>
  <calcPr fullCalcOnLoad="1"/>
</workbook>
</file>

<file path=xl/sharedStrings.xml><?xml version="1.0" encoding="utf-8"?>
<sst xmlns="http://schemas.openxmlformats.org/spreadsheetml/2006/main" count="407" uniqueCount="225">
  <si>
    <t>Сельское хозяйство и рыболовство</t>
  </si>
  <si>
    <t>Образование</t>
  </si>
  <si>
    <t>Социальная политика</t>
  </si>
  <si>
    <t>(тыс.руб.)</t>
  </si>
  <si>
    <t>ДОХОДЫ</t>
  </si>
  <si>
    <t>Налоги на прибыль(доход), прирост капитала</t>
  </si>
  <si>
    <t xml:space="preserve">в том числе: </t>
  </si>
  <si>
    <t>Налог на прибыль(доход) организаций</t>
  </si>
  <si>
    <t>Налог на доходы физических лиц</t>
  </si>
  <si>
    <t>Налоги на совокупный доход</t>
  </si>
  <si>
    <t>Единый налог на вмененный доход для определенных видов деятельности</t>
  </si>
  <si>
    <t>Налоги на имущество</t>
  </si>
  <si>
    <t>Земельный налог</t>
  </si>
  <si>
    <t>Государственная пошлина</t>
  </si>
  <si>
    <t>Штрафные санкции, возмещение ущерба</t>
  </si>
  <si>
    <t>Прочие неналоговые доходы</t>
  </si>
  <si>
    <t>ИТОГО СОБСТВЕННЫХ ДОХОДОВ</t>
  </si>
  <si>
    <t>От бюджетов других уровней:</t>
  </si>
  <si>
    <t xml:space="preserve">  - Субвенции</t>
  </si>
  <si>
    <t xml:space="preserve">  - Субсидии</t>
  </si>
  <si>
    <t>ДОХОДЫ ОТ ПРЕДПРИНИМАТЕЛЬСКОЙ И ИНОЙ, ПРИНОСЯЩЕЙ</t>
  </si>
  <si>
    <t>ВСЕГО ДОХОДОВ</t>
  </si>
  <si>
    <t>РАСХОДЫ</t>
  </si>
  <si>
    <t xml:space="preserve">  -материальные затраты</t>
  </si>
  <si>
    <t>Жилищно-коммунальное хозяйство</t>
  </si>
  <si>
    <t>ВСЕГО РАСХОДОВ:</t>
  </si>
  <si>
    <t xml:space="preserve">  -оплата труда </t>
  </si>
  <si>
    <t xml:space="preserve">  -оплата труда</t>
  </si>
  <si>
    <t>Физическая культура и спорт</t>
  </si>
  <si>
    <t>Единый сельскохозяйственный налог</t>
  </si>
  <si>
    <t>Общегосударственные вопросы</t>
  </si>
  <si>
    <t>Другие вопросы в области национальной экономики</t>
  </si>
  <si>
    <t>Социальное обслуживание населения</t>
  </si>
  <si>
    <t>Социальное обеспечение населения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</si>
  <si>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</si>
  <si>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местного самоуправления</t>
  </si>
  <si>
    <t>Доходы от оказания платных услуг и компенсации затрат государства</t>
  </si>
  <si>
    <t>Обеспечение проведения выборов и референдумов</t>
  </si>
  <si>
    <t>Другие общегосударственные вопросы</t>
  </si>
  <si>
    <t xml:space="preserve">  -  оплата труда</t>
  </si>
  <si>
    <t xml:space="preserve"> - материальные затраты</t>
  </si>
  <si>
    <t>Другие вопросы в области социальной политики</t>
  </si>
  <si>
    <t>Национальная экономика</t>
  </si>
  <si>
    <t xml:space="preserve">   -прочие расходы</t>
  </si>
  <si>
    <t>Транспорт</t>
  </si>
  <si>
    <t xml:space="preserve"> - оплата труда</t>
  </si>
  <si>
    <t>Пенсионное обеспечение</t>
  </si>
  <si>
    <t>Национальная оборона</t>
  </si>
  <si>
    <t>Возврат остатков субсидий и субвенций прошлых лет</t>
  </si>
  <si>
    <t>Судебная система</t>
  </si>
  <si>
    <t xml:space="preserve">  - материальные затраты</t>
  </si>
  <si>
    <t>Мобилизационная и вневойсковая подготовка</t>
  </si>
  <si>
    <t>Обеспечение пожарной безопасности</t>
  </si>
  <si>
    <t>Стационарная медицинская помощь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</si>
  <si>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</si>
  <si>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</si>
  <si>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Погашение бюджетами муниципальных районов кредитов от других бюджетов бюджетной системы РФ в валюте РФ</t>
  </si>
  <si>
    <t>Возврат бюджетных кредитов, предоставленных юридическим лицам в валюте РФ</t>
  </si>
  <si>
    <t xml:space="preserve">Возврат бюджетных кредитов, предоставленных другим бюджетам </t>
  </si>
  <si>
    <t>Исполнения
(%)</t>
  </si>
  <si>
    <t>НАЛОГОВЫЕ И НЕНАЛОГОВЫЕ ДОХОДЫ ВСЕГО</t>
  </si>
  <si>
    <t>Налоги на имущество физических лиц</t>
  </si>
  <si>
    <t>гос. пошлина по делам, рассматриваемым в судах общей юрисдикции, мировыми судьями (за исключением Верховного Суда РФ)</t>
  </si>
  <si>
    <t>гос.пошлина за государственную регистрацию транспортных средств и иные юридически значимые действия,связанные с изменениями и выдачей документов на транспортные средства</t>
  </si>
  <si>
    <t>Задолженность и перерасчеты по отмененным налогам и сборам и иным обязательным платежам</t>
  </si>
  <si>
    <t>Налог на прибыль за 2004 год</t>
  </si>
  <si>
    <t>Земельный налог по обяз. Возникшим до 01.01.06г.</t>
  </si>
  <si>
    <t>порочие налоги и сборы</t>
  </si>
  <si>
    <t>Проценты полученные от предоставления бюджетных кредитов ( бюджетных ссуд) внутри страны</t>
  </si>
  <si>
    <t>Прочие поступления от использования имущества, находящегося в муниципальной собственности</t>
  </si>
  <si>
    <t>доходы от перечисления части прибыли, остающейся после уплаты налогов</t>
  </si>
  <si>
    <t>Платежи за негативное воздействие на окружающую среду</t>
  </si>
  <si>
    <t>Доходы от продажи материальных и нематерильных активов</t>
  </si>
  <si>
    <t xml:space="preserve">Доходы от возврата остатков субсидий </t>
  </si>
  <si>
    <t>БЕЗВОЗМЕЗДНЫЕ ПЕРЕЧИСЛЕНИЯ:</t>
  </si>
  <si>
    <t xml:space="preserve">  - Дотации </t>
  </si>
  <si>
    <t>Дотации на выравнивание уровня бюджетной обеспеч.</t>
  </si>
  <si>
    <t>Дотации на сбалансированность</t>
  </si>
  <si>
    <t>Прочие дотации</t>
  </si>
  <si>
    <t>Прочие безвозмездные поступления</t>
  </si>
  <si>
    <t>Рыночные продажи товаров и услуг</t>
  </si>
  <si>
    <t>Поступления от возмещения ущерба при возникновении страховых случаев</t>
  </si>
  <si>
    <t>Безвозмездные поступления от предпринимательской  и иной приносящей доход деятельности</t>
  </si>
  <si>
    <t>Функционирование высшего должностного лица субъекта РФ и органа местного самоуправления</t>
  </si>
  <si>
    <t>Функционирование зконодательных представительных) органов государственной власти</t>
  </si>
  <si>
    <t xml:space="preserve"> -оплата труда</t>
  </si>
  <si>
    <t>Функционирование местных администрций</t>
  </si>
  <si>
    <t>Обеспечение деятельности финансовых, налоговых, и таможенных органов</t>
  </si>
  <si>
    <t>Резервный фонд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</si>
  <si>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</si>
  <si>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правоохранительных органов</t>
  </si>
  <si>
    <t>Амбулаторная помощь</t>
  </si>
  <si>
    <t>Скорая медицинская помощь</t>
  </si>
  <si>
    <t>гос.пошлина за установку рекламной консрукции</t>
  </si>
  <si>
    <t>Увеличение остатков средств</t>
  </si>
  <si>
    <t>Уменьшение остатков средств</t>
  </si>
  <si>
    <t>Предоставление бюджетных кредитов  другим бюджетам бюджетной системы</t>
  </si>
  <si>
    <t>Итого источники финансирования дефицита бюджета</t>
  </si>
  <si>
    <t>Источники внутреннего финансирования</t>
  </si>
  <si>
    <t>Иные межбюджетные трансферты</t>
  </si>
  <si>
    <t>Получение бюджетами муниципальных районов кредитов от других бюджетов бюджетной системы РФ в валюте РФ</t>
  </si>
  <si>
    <t>перечисление другим бюджетам бюджетной системы</t>
  </si>
  <si>
    <t>Культура, кинематография</t>
  </si>
  <si>
    <t xml:space="preserve">Здравоохранение </t>
  </si>
  <si>
    <t>Другие вопросы в области здравоохрнен.</t>
  </si>
  <si>
    <t>пособия по соц.помощи населению</t>
  </si>
  <si>
    <t>материальные затраты</t>
  </si>
  <si>
    <t>Массовый спорт</t>
  </si>
  <si>
    <t>Обслуживание внутреннего долга</t>
  </si>
  <si>
    <t>Обслуживание муниципального внутреннего долга</t>
  </si>
  <si>
    <t>Межбюджетные трансферты</t>
  </si>
  <si>
    <t>Кредиты кредитных организаций</t>
  </si>
  <si>
    <t>Дорожное хозяйство</t>
  </si>
  <si>
    <t>Охрана семьи и детства</t>
  </si>
  <si>
    <t>гос.пошлина за совершение нотариальных действий должностными лицами ОМС</t>
  </si>
  <si>
    <t xml:space="preserve">  - субсидии БУ</t>
  </si>
  <si>
    <t>Налог,взимаемый в связи с применением патентной системы налогообложения, зачисляемый вбюджеты муниципальных районов</t>
  </si>
  <si>
    <t>Налоги на товары (работы,услуги), реализуюмые на территории РФ</t>
  </si>
  <si>
    <t>Акцизы по подакцизным товарам</t>
  </si>
  <si>
    <t>доходы от сдачи в аренду имущества,составляющего муниципальную казну</t>
  </si>
  <si>
    <t>доходы от сдачи в аренду имущества,находящегося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</si>
  <si>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 xml:space="preserve">  -единовремен.денежн.выплаты молодым врачам</t>
  </si>
  <si>
    <t xml:space="preserve"> - мбт</t>
  </si>
  <si>
    <t>Функционирование законодательных (представительных) органов государственной власти</t>
  </si>
  <si>
    <t>доходы,получаемые в виде арендной платы за земли,  государственная собственности на которые не разграничена</t>
  </si>
  <si>
    <t xml:space="preserve">  - субсидии БУ на иные цели</t>
  </si>
  <si>
    <t xml:space="preserve">  - % по кредитам</t>
  </si>
  <si>
    <t xml:space="preserve">  - субсидии АУ на иные цели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</si>
  <si>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</si>
  <si>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</t>
  </si>
  <si>
    <t>Охрана окружающей среды</t>
  </si>
  <si>
    <t>Другие вопросы в области охраны окружающей среды</t>
  </si>
  <si>
    <t>Дефицит (-),профицит (+)</t>
  </si>
  <si>
    <t>0102</t>
  </si>
  <si>
    <t>0103</t>
  </si>
  <si>
    <t>0104</t>
  </si>
  <si>
    <t>0105</t>
  </si>
  <si>
    <t>0106</t>
  </si>
  <si>
    <t>0107</t>
  </si>
  <si>
    <t>0111</t>
  </si>
  <si>
    <t>0113</t>
  </si>
  <si>
    <t>05</t>
  </si>
  <si>
    <t>04</t>
  </si>
  <si>
    <t>06</t>
  </si>
  <si>
    <t>0405</t>
  </si>
  <si>
    <t>0406</t>
  </si>
  <si>
    <t>0408</t>
  </si>
  <si>
    <t>0409</t>
  </si>
  <si>
    <t>0412</t>
  </si>
  <si>
    <t>07</t>
  </si>
  <si>
    <t>02</t>
  </si>
  <si>
    <t>0203</t>
  </si>
  <si>
    <t>03</t>
  </si>
  <si>
    <t>0309</t>
  </si>
  <si>
    <t>08</t>
  </si>
  <si>
    <t>0909</t>
  </si>
  <si>
    <t>Налог, взимаемый в связи с применением упрощенной системы налогообложения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</si>
  <si>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</si>
  <si>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</si>
  <si>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</si>
  <si>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</si>
  <si>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Охрана объектов растительного и животного мира и среды их обитания</t>
  </si>
  <si>
    <t>Связь и информатика</t>
  </si>
  <si>
    <t>0410</t>
  </si>
  <si>
    <t>0603</t>
  </si>
  <si>
    <t>0605</t>
  </si>
  <si>
    <t xml:space="preserve">Наименование </t>
  </si>
  <si>
    <t>09</t>
  </si>
  <si>
    <t>0310</t>
  </si>
  <si>
    <t>0314</t>
  </si>
  <si>
    <t>гос.пошлина за установку рекламной конструкции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</si>
  <si>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</si>
  <si>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</si>
  <si>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</si>
  <si>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</si>
  <si>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- реализация мероприятий, предусмотренных муниципальными программами развития субъектов малого и среднего предпринимательства</t>
  </si>
  <si>
    <t xml:space="preserve"> -информационное обеспечение населения в области профилактики наркомании</t>
  </si>
  <si>
    <t>- мероприятия по землеустройству и землепользованию</t>
  </si>
  <si>
    <t>- меры поддержки населения в целях обеспечения доступности коммунальных услуг (выпадающие доходы)</t>
  </si>
  <si>
    <t xml:space="preserve"> перечисление другим бюджетам бюджетной системы</t>
  </si>
  <si>
    <t xml:space="preserve">  - проведение акарицидных обработок</t>
  </si>
  <si>
    <t xml:space="preserve">  - предоставление субсидий организациям автомобильного пассажирского транспорта на возмещение недополученных доходов, возникающих в результате небольшой интенсивности пассажиропотоков по муниципальным маршрутам </t>
  </si>
  <si>
    <t>Налог,взимаемый в связи с применением патентной системы налогообложения, зачисляемый в бюджеты муниципальных районов</t>
  </si>
  <si>
    <t xml:space="preserve">-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</t>
  </si>
  <si>
    <t>Спорт высших достижений</t>
  </si>
  <si>
    <t xml:space="preserve">- формирования современной городской среды </t>
  </si>
  <si>
    <t>- расходы на организацию туристско-рекреационных зон на территории Красноярского края</t>
  </si>
  <si>
    <t xml:space="preserve">  - актуализация схем теплоснабжения на территории Шушенского района</t>
  </si>
  <si>
    <t xml:space="preserve">  - средства резервного фонда</t>
  </si>
  <si>
    <t>- прочие расходы</t>
  </si>
  <si>
    <t>01</t>
  </si>
  <si>
    <t>1103</t>
  </si>
  <si>
    <t>доходы,получаемые в виде арендной платы за земли  после разграничения государственной собственности на землю ( за исключением зем. участков бюджетных и автономных учреждений)</t>
  </si>
  <si>
    <t xml:space="preserve">Земельный налог с организаций </t>
  </si>
  <si>
    <t>Земельный налог с физ.лиц</t>
  </si>
  <si>
    <t>Изменение остатков средств</t>
  </si>
  <si>
    <t xml:space="preserve"> СПРАВКА ОБ ИСПОЛНЕНИИ  РАЙОННОГО БЮДЖЕТА за 2024 год</t>
  </si>
  <si>
    <t>план районного бюджета на 2024 год</t>
  </si>
  <si>
    <t xml:space="preserve">  -  выполнение противоаварийных мероприятий, направленных на предотвращение обрушения в зимнее время крыши многоквартирного дома </t>
  </si>
  <si>
    <t xml:space="preserve">  - ремонт коммунальной инфраструктуры </t>
  </si>
  <si>
    <t xml:space="preserve">  - актуализация схем теплоснабжения </t>
  </si>
  <si>
    <t xml:space="preserve">             СПРАВКА ОБ ИСПОЛНЕНИИ КОНСОЛИДИРОВАННОГО БЮДЖЕТА  за 2024 год</t>
  </si>
  <si>
    <t xml:space="preserve">  - субсидии БУ на выполнение мун.задания</t>
  </si>
  <si>
    <t>план консолидированного бюджета на 2024 год</t>
  </si>
  <si>
    <r>
      <t>в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том числе: </t>
    </r>
  </si>
  <si>
    <t xml:space="preserve"> - компенсация, связанная с депутатской деятельностью</t>
  </si>
  <si>
    <t xml:space="preserve">  - перечисление другим бюджетам бюджетной системы</t>
  </si>
  <si>
    <r>
      <t xml:space="preserve">перечисление другим бюджетам бюджетной системы </t>
    </r>
    <r>
      <rPr>
        <i/>
        <sz val="12"/>
        <rFont val="Times New Roman"/>
        <family val="1"/>
      </rPr>
      <t>(содержание дорог в поселениях)</t>
    </r>
  </si>
  <si>
    <r>
      <t xml:space="preserve">  - материальные затраты </t>
    </r>
    <r>
      <rPr>
        <i/>
        <sz val="12"/>
        <rFont val="Times New Roman"/>
        <family val="1"/>
      </rPr>
      <t>(вышка связи д.Ермолаево)</t>
    </r>
  </si>
  <si>
    <r>
      <t xml:space="preserve">  - материальные затраты </t>
    </r>
    <r>
      <rPr>
        <i/>
        <sz val="12"/>
        <rFont val="Times New Roman"/>
        <family val="1"/>
      </rPr>
      <t>(обеспечение деятельности по обращению с животными)</t>
    </r>
  </si>
  <si>
    <t xml:space="preserve">  -прочие материальные затраты</t>
  </si>
  <si>
    <t xml:space="preserve">  - субсидии на выполнение мун.задания (ФСЦ)</t>
  </si>
  <si>
    <t xml:space="preserve">  - субсидии  на иные цели</t>
  </si>
  <si>
    <t xml:space="preserve">  - субсидии  на выполнение мун.задания (Факел)</t>
  </si>
  <si>
    <t xml:space="preserve">  - субсидии на иные цели</t>
  </si>
  <si>
    <r>
      <t xml:space="preserve">перечисление другим бюджетам бюджетной системы </t>
    </r>
    <r>
      <rPr>
        <i/>
        <sz val="12"/>
        <rFont val="Times New Roman"/>
        <family val="1"/>
      </rPr>
      <t>(п.Ильичево)</t>
    </r>
  </si>
  <si>
    <t xml:space="preserve">  - содержание и ремонт дорог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</si>
  <si>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</si>
  <si>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</t>
  </si>
  <si>
    <t>2080100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</si>
  <si>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</si>
  <si>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- разработку проектной документации по восстановлению мостов</t>
  </si>
  <si>
    <t>- прочие расходы на реализацию мероприятий по благоустройству (0503)</t>
  </si>
  <si>
    <t>кассовое исполнение  на 01.05.2024</t>
  </si>
  <si>
    <t>- расходы на организацию туристско-рекреационных зон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</si>
</sst>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_р_._-;_-@_-"/>
    <numFmt numFmtId="181" formatCode="_-* #,##0_р_._-;\-* #,##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.0_ ;\-#,##0.0\ "/>
    <numFmt numFmtId="185" formatCode="0.000000000"/>
    <numFmt numFmtId="186" formatCode="#,##0.0_р_."/>
    <numFmt numFmtId="187" formatCode="#,##0.00_р_."/>
    <numFmt numFmtId="188" formatCode="#,##0.000_р_."/>
    <numFmt numFmtId="189" formatCode="#,##0.000"/>
    <numFmt numFmtId="190" formatCode="#,##0.00000"/>
    <numFmt numFmtId="191" formatCode="#,##0.0000000000"/>
    <numFmt numFmtId="192" formatCode="#,##0.0000"/>
    <numFmt numFmtId="193" formatCode="#,##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"/>
      <family val="2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186" fontId="4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189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8" fontId="14" fillId="33" borderId="11" xfId="0" applyNumberFormat="1" applyFont="1" applyFill="1" applyBorder="1" applyAlignment="1">
      <alignment horizontal="right" vertical="center"/>
    </xf>
    <xf numFmtId="186" fontId="14" fillId="33" borderId="11" xfId="0" applyNumberFormat="1" applyFont="1" applyFill="1" applyBorder="1" applyAlignment="1">
      <alignment horizontal="right" vertical="center"/>
    </xf>
    <xf numFmtId="188" fontId="14" fillId="0" borderId="11" xfId="0" applyNumberFormat="1" applyFont="1" applyBorder="1" applyAlignment="1">
      <alignment horizontal="right" vertical="center"/>
    </xf>
    <xf numFmtId="186" fontId="14" fillId="0" borderId="1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186" fontId="15" fillId="0" borderId="16" xfId="0" applyNumberFormat="1" applyFont="1" applyBorder="1" applyAlignment="1">
      <alignment horizontal="right" vertical="center"/>
    </xf>
    <xf numFmtId="186" fontId="14" fillId="0" borderId="11" xfId="0" applyNumberFormat="1" applyFont="1" applyBorder="1" applyAlignment="1">
      <alignment horizontal="right" vertical="center"/>
    </xf>
    <xf numFmtId="188" fontId="16" fillId="0" borderId="11" xfId="0" applyNumberFormat="1" applyFont="1" applyBorder="1" applyAlignment="1">
      <alignment horizontal="right" vertical="center"/>
    </xf>
    <xf numFmtId="186" fontId="16" fillId="0" borderId="16" xfId="0" applyNumberFormat="1" applyFont="1" applyBorder="1" applyAlignment="1">
      <alignment horizontal="right" vertical="center"/>
    </xf>
    <xf numFmtId="188" fontId="13" fillId="33" borderId="11" xfId="0" applyNumberFormat="1" applyFont="1" applyFill="1" applyBorder="1" applyAlignment="1">
      <alignment horizontal="right" vertical="center"/>
    </xf>
    <xf numFmtId="186" fontId="13" fillId="33" borderId="16" xfId="0" applyNumberFormat="1" applyFont="1" applyFill="1" applyBorder="1" applyAlignment="1">
      <alignment horizontal="right" vertical="center"/>
    </xf>
    <xf numFmtId="186" fontId="14" fillId="33" borderId="16" xfId="0" applyNumberFormat="1" applyFont="1" applyFill="1" applyBorder="1" applyAlignment="1">
      <alignment horizontal="right" vertical="center"/>
    </xf>
    <xf numFmtId="188" fontId="13" fillId="34" borderId="11" xfId="0" applyNumberFormat="1" applyFont="1" applyFill="1" applyBorder="1" applyAlignment="1">
      <alignment horizontal="right" vertical="center"/>
    </xf>
    <xf numFmtId="186" fontId="14" fillId="34" borderId="16" xfId="0" applyNumberFormat="1" applyFont="1" applyFill="1" applyBorder="1" applyAlignment="1">
      <alignment horizontal="right" vertical="center"/>
    </xf>
    <xf numFmtId="186" fontId="13" fillId="0" borderId="11" xfId="0" applyNumberFormat="1" applyFont="1" applyBorder="1" applyAlignment="1">
      <alignment horizontal="right" vertical="center"/>
    </xf>
    <xf numFmtId="188" fontId="13" fillId="0" borderId="11" xfId="0" applyNumberFormat="1" applyFont="1" applyBorder="1" applyAlignment="1">
      <alignment horizontal="right" vertical="center"/>
    </xf>
    <xf numFmtId="188" fontId="14" fillId="0" borderId="11" xfId="0" applyNumberFormat="1" applyFont="1" applyFill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188" fontId="13" fillId="36" borderId="11" xfId="0" applyNumberFormat="1" applyFont="1" applyFill="1" applyBorder="1" applyAlignment="1">
      <alignment horizontal="right" vertical="center"/>
    </xf>
    <xf numFmtId="186" fontId="13" fillId="36" borderId="16" xfId="0" applyNumberFormat="1" applyFont="1" applyFill="1" applyBorder="1" applyAlignment="1">
      <alignment horizontal="right" vertical="center"/>
    </xf>
    <xf numFmtId="188" fontId="15" fillId="32" borderId="11" xfId="0" applyNumberFormat="1" applyFont="1" applyFill="1" applyBorder="1" applyAlignment="1">
      <alignment horizontal="right" vertical="center"/>
    </xf>
    <xf numFmtId="188" fontId="16" fillId="32" borderId="11" xfId="0" applyNumberFormat="1" applyFont="1" applyFill="1" applyBorder="1" applyAlignment="1">
      <alignment horizontal="right" vertical="center"/>
    </xf>
    <xf numFmtId="186" fontId="13" fillId="33" borderId="11" xfId="0" applyNumberFormat="1" applyFont="1" applyFill="1" applyBorder="1" applyAlignment="1">
      <alignment horizontal="right" vertical="center"/>
    </xf>
    <xf numFmtId="188" fontId="15" fillId="0" borderId="17" xfId="0" applyNumberFormat="1" applyFont="1" applyFill="1" applyBorder="1" applyAlignment="1">
      <alignment horizontal="right" vertical="center"/>
    </xf>
    <xf numFmtId="188" fontId="16" fillId="0" borderId="17" xfId="0" applyNumberFormat="1" applyFont="1" applyFill="1" applyBorder="1" applyAlignment="1">
      <alignment horizontal="right" vertical="center"/>
    </xf>
    <xf numFmtId="188" fontId="14" fillId="0" borderId="17" xfId="0" applyNumberFormat="1" applyFont="1" applyFill="1" applyBorder="1" applyAlignment="1">
      <alignment horizontal="right" vertical="center"/>
    </xf>
    <xf numFmtId="188" fontId="13" fillId="33" borderId="17" xfId="0" applyNumberFormat="1" applyFont="1" applyFill="1" applyBorder="1" applyAlignment="1">
      <alignment horizontal="right" vertical="center"/>
    </xf>
    <xf numFmtId="186" fontId="13" fillId="33" borderId="18" xfId="0" applyNumberFormat="1" applyFont="1" applyFill="1" applyBorder="1" applyAlignment="1">
      <alignment horizontal="right" vertical="center"/>
    </xf>
    <xf numFmtId="188" fontId="13" fillId="34" borderId="17" xfId="0" applyNumberFormat="1" applyFont="1" applyFill="1" applyBorder="1" applyAlignment="1">
      <alignment horizontal="right" vertical="center"/>
    </xf>
    <xf numFmtId="186" fontId="13" fillId="34" borderId="18" xfId="0" applyNumberFormat="1" applyFont="1" applyFill="1" applyBorder="1" applyAlignment="1">
      <alignment horizontal="right" vertical="center"/>
    </xf>
    <xf numFmtId="188" fontId="13" fillId="34" borderId="13" xfId="0" applyNumberFormat="1" applyFont="1" applyFill="1" applyBorder="1" applyAlignment="1">
      <alignment horizontal="right" vertical="center"/>
    </xf>
    <xf numFmtId="186" fontId="13" fillId="34" borderId="13" xfId="0" applyNumberFormat="1" applyFont="1" applyFill="1" applyBorder="1" applyAlignment="1">
      <alignment horizontal="right" vertical="center"/>
    </xf>
    <xf numFmtId="188" fontId="13" fillId="0" borderId="13" xfId="0" applyNumberFormat="1" applyFont="1" applyBorder="1" applyAlignment="1">
      <alignment horizontal="right" vertical="center"/>
    </xf>
    <xf numFmtId="186" fontId="13" fillId="0" borderId="13" xfId="0" applyNumberFormat="1" applyFont="1" applyFill="1" applyBorder="1" applyAlignment="1">
      <alignment horizontal="right" vertical="center"/>
    </xf>
    <xf numFmtId="186" fontId="14" fillId="0" borderId="13" xfId="0" applyNumberFormat="1" applyFont="1" applyBorder="1" applyAlignment="1">
      <alignment horizontal="right" vertical="center"/>
    </xf>
    <xf numFmtId="188" fontId="16" fillId="0" borderId="13" xfId="0" applyNumberFormat="1" applyFont="1" applyBorder="1" applyAlignment="1">
      <alignment horizontal="right" vertical="center"/>
    </xf>
    <xf numFmtId="186" fontId="16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3" fillId="33" borderId="1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6" fillId="32" borderId="11" xfId="0" applyFont="1" applyFill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5" fillId="0" borderId="11" xfId="0" applyFont="1" applyBorder="1" applyAlignment="1">
      <alignment horizontal="right" wrapText="1"/>
    </xf>
    <xf numFmtId="0" fontId="13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34" borderId="11" xfId="0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wrapText="1"/>
    </xf>
    <xf numFmtId="0" fontId="15" fillId="32" borderId="11" xfId="0" applyFont="1" applyFill="1" applyBorder="1" applyAlignment="1">
      <alignment wrapText="1"/>
    </xf>
    <xf numFmtId="0" fontId="15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3" fillId="34" borderId="17" xfId="0" applyFont="1" applyFill="1" applyBorder="1" applyAlignment="1">
      <alignment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3" fillId="0" borderId="14" xfId="0" applyFont="1" applyBorder="1" applyAlignment="1">
      <alignment horizontal="center" wrapText="1"/>
    </xf>
    <xf numFmtId="188" fontId="13" fillId="33" borderId="11" xfId="0" applyNumberFormat="1" applyFont="1" applyFill="1" applyBorder="1" applyAlignment="1">
      <alignment horizontal="center"/>
    </xf>
    <xf numFmtId="188" fontId="1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188" fontId="1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88" fontId="16" fillId="0" borderId="11" xfId="0" applyNumberFormat="1" applyFont="1" applyBorder="1" applyAlignment="1">
      <alignment horizontal="center"/>
    </xf>
    <xf numFmtId="188" fontId="13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 vertical="top" wrapText="1"/>
    </xf>
    <xf numFmtId="188" fontId="16" fillId="0" borderId="11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179" fontId="14" fillId="0" borderId="10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 vertical="top" wrapText="1"/>
    </xf>
    <xf numFmtId="188" fontId="14" fillId="33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/>
    </xf>
    <xf numFmtId="188" fontId="13" fillId="34" borderId="11" xfId="0" applyNumberFormat="1" applyFont="1" applyFill="1" applyBorder="1" applyAlignment="1">
      <alignment horizontal="center"/>
    </xf>
    <xf numFmtId="186" fontId="13" fillId="34" borderId="16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179" fontId="14" fillId="0" borderId="11" xfId="0" applyNumberFormat="1" applyFont="1" applyBorder="1" applyAlignment="1">
      <alignment horizontal="center" wrapText="1"/>
    </xf>
    <xf numFmtId="179" fontId="14" fillId="0" borderId="11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 vertical="top" wrapText="1"/>
    </xf>
    <xf numFmtId="188" fontId="14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left" vertical="top"/>
    </xf>
    <xf numFmtId="189" fontId="14" fillId="0" borderId="11" xfId="0" applyNumberFormat="1" applyFont="1" applyBorder="1" applyAlignment="1">
      <alignment horizontal="center"/>
    </xf>
    <xf numFmtId="188" fontId="14" fillId="0" borderId="11" xfId="0" applyNumberFormat="1" applyFont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17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right" vertical="center"/>
    </xf>
    <xf numFmtId="0" fontId="15" fillId="32" borderId="10" xfId="0" applyFont="1" applyFill="1" applyBorder="1" applyAlignment="1">
      <alignment horizontal="left" vertical="center" wrapText="1"/>
    </xf>
    <xf numFmtId="179" fontId="15" fillId="32" borderId="10" xfId="0" applyNumberFormat="1" applyFont="1" applyFill="1" applyBorder="1" applyAlignment="1">
      <alignment horizontal="center"/>
    </xf>
    <xf numFmtId="172" fontId="13" fillId="32" borderId="10" xfId="0" applyNumberFormat="1" applyFont="1" applyFill="1" applyBorder="1" applyAlignment="1">
      <alignment horizontal="right" vertical="center"/>
    </xf>
    <xf numFmtId="0" fontId="16" fillId="32" borderId="21" xfId="0" applyFont="1" applyFill="1" applyBorder="1" applyAlignment="1">
      <alignment horizontal="left" vertical="center" wrapText="1"/>
    </xf>
    <xf numFmtId="0" fontId="16" fillId="32" borderId="21" xfId="0" applyFont="1" applyFill="1" applyBorder="1" applyAlignment="1">
      <alignment horizontal="center" wrapText="1"/>
    </xf>
    <xf numFmtId="179" fontId="16" fillId="32" borderId="21" xfId="0" applyNumberFormat="1" applyFont="1" applyFill="1" applyBorder="1" applyAlignment="1">
      <alignment horizontal="center" wrapText="1"/>
    </xf>
    <xf numFmtId="172" fontId="14" fillId="32" borderId="10" xfId="0" applyNumberFormat="1" applyFont="1" applyFill="1" applyBorder="1" applyAlignment="1">
      <alignment horizontal="right" vertical="center"/>
    </xf>
    <xf numFmtId="179" fontId="15" fillId="32" borderId="10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left" vertical="top" wrapText="1"/>
    </xf>
    <xf numFmtId="188" fontId="15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 vertical="top" wrapText="1"/>
    </xf>
    <xf numFmtId="188" fontId="14" fillId="0" borderId="17" xfId="0" applyNumberFormat="1" applyFont="1" applyFill="1" applyBorder="1" applyAlignment="1">
      <alignment horizontal="center"/>
    </xf>
    <xf numFmtId="188" fontId="13" fillId="33" borderId="17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left"/>
    </xf>
    <xf numFmtId="188" fontId="13" fillId="34" borderId="17" xfId="0" applyNumberFormat="1" applyFont="1" applyFill="1" applyBorder="1" applyAlignment="1">
      <alignment horizontal="center"/>
    </xf>
    <xf numFmtId="188" fontId="13" fillId="34" borderId="13" xfId="0" applyNumberFormat="1" applyFont="1" applyFill="1" applyBorder="1" applyAlignment="1">
      <alignment horizontal="center"/>
    </xf>
    <xf numFmtId="188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88" fontId="16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8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7" borderId="24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top" wrapText="1"/>
    </xf>
    <xf numFmtId="188" fontId="13" fillId="36" borderId="11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186" fontId="13" fillId="36" borderId="1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1">
      <selection activeCell="D188" sqref="D188"/>
    </sheetView>
  </sheetViews>
  <sheetFormatPr defaultColWidth="9.00390625" defaultRowHeight="12.75"/>
  <cols>
    <col min="1" max="1" width="11.25390625" style="35" bestFit="1" customWidth="1"/>
    <col min="2" max="2" width="63.125" style="107" customWidth="1"/>
    <col min="3" max="3" width="24.125" style="75" customWidth="1"/>
    <col min="4" max="4" width="23.00390625" style="75" customWidth="1"/>
    <col min="5" max="5" width="19.25390625" style="75" customWidth="1"/>
    <col min="6" max="6" width="11.25390625" style="0" bestFit="1" customWidth="1"/>
    <col min="7" max="7" width="12.75390625" style="0" customWidth="1"/>
  </cols>
  <sheetData>
    <row r="1" spans="1:5" ht="27.75" customHeight="1">
      <c r="A1" s="179" t="s">
        <v>196</v>
      </c>
      <c r="B1" s="179"/>
      <c r="C1" s="179"/>
      <c r="D1" s="179"/>
      <c r="E1" s="179"/>
    </row>
    <row r="2" spans="1:5" ht="19.5" thickBot="1">
      <c r="A2" s="180" t="s">
        <v>3</v>
      </c>
      <c r="B2" s="180"/>
      <c r="C2" s="180"/>
      <c r="D2" s="180"/>
      <c r="E2" s="180"/>
    </row>
    <row r="3" spans="1:5" ht="73.5" customHeight="1" thickBot="1">
      <c r="A3" s="181" t="s">
        <v>166</v>
      </c>
      <c r="B3" s="182"/>
      <c r="C3" s="36" t="s">
        <v>197</v>
      </c>
      <c r="D3" s="36" t="s">
        <v>223</v>
      </c>
      <c r="E3" s="37" t="s">
        <v>59</v>
      </c>
    </row>
    <row r="4" spans="1:5" ht="27.75" customHeight="1">
      <c r="A4" s="183" t="s">
        <v>4</v>
      </c>
      <c r="B4" s="184"/>
      <c r="C4" s="184"/>
      <c r="D4" s="184"/>
      <c r="E4" s="185"/>
    </row>
    <row r="5" spans="1:5" ht="40.5">
      <c r="A5" s="15">
        <v>1000000</v>
      </c>
      <c r="B5" s="76" t="s">
        <v>60</v>
      </c>
      <c r="C5" s="38">
        <f>C7+C13+C21+C29+C37+C41+C45+C50+C51+C25+C38+C11</f>
        <v>211963.9</v>
      </c>
      <c r="D5" s="38">
        <f>D7+D13+D21+D29+D37+D41+D45+D50+D51+D25+D38+D11</f>
        <v>46302.65177</v>
      </c>
      <c r="E5" s="39">
        <f>D5/C5*100</f>
        <v>21.84459323969789</v>
      </c>
    </row>
    <row r="6" spans="1:5" ht="20.25">
      <c r="A6" s="12"/>
      <c r="B6" s="77" t="s">
        <v>204</v>
      </c>
      <c r="C6" s="40"/>
      <c r="D6" s="40"/>
      <c r="E6" s="41"/>
    </row>
    <row r="7" spans="1:5" ht="40.5">
      <c r="A7" s="13">
        <v>1010000</v>
      </c>
      <c r="B7" s="78" t="s">
        <v>5</v>
      </c>
      <c r="C7" s="42">
        <f>SUM(C9:C10)</f>
        <v>125819.5</v>
      </c>
      <c r="D7" s="42">
        <f>SUM(D9:D10)</f>
        <v>27836.27259</v>
      </c>
      <c r="E7" s="43">
        <f>D7/C7*100</f>
        <v>22.123973303025366</v>
      </c>
    </row>
    <row r="8" spans="1:5" ht="20.25">
      <c r="A8" s="13"/>
      <c r="B8" s="79" t="s">
        <v>6</v>
      </c>
      <c r="C8" s="44"/>
      <c r="D8" s="44"/>
      <c r="E8" s="41"/>
    </row>
    <row r="9" spans="1:5" ht="20.25">
      <c r="A9" s="13">
        <v>1010100</v>
      </c>
      <c r="B9" s="80" t="s">
        <v>7</v>
      </c>
      <c r="C9" s="40">
        <v>3810.4</v>
      </c>
      <c r="D9" s="40">
        <v>1121.18659</v>
      </c>
      <c r="E9" s="41">
        <f aca="true" t="shared" si="0" ref="E9:E21">D9/C9*100</f>
        <v>29.4243803800126</v>
      </c>
    </row>
    <row r="10" spans="1:5" ht="20.25">
      <c r="A10" s="13">
        <v>1010200</v>
      </c>
      <c r="B10" s="80" t="s">
        <v>8</v>
      </c>
      <c r="C10" s="40">
        <v>122009.1</v>
      </c>
      <c r="D10" s="40">
        <v>26715.086</v>
      </c>
      <c r="E10" s="41">
        <f t="shared" si="0"/>
        <v>21.895978250802603</v>
      </c>
    </row>
    <row r="11" spans="1:5" ht="40.5">
      <c r="A11" s="12">
        <v>1030000</v>
      </c>
      <c r="B11" s="78" t="s">
        <v>117</v>
      </c>
      <c r="C11" s="42">
        <f>C12</f>
        <v>2.3</v>
      </c>
      <c r="D11" s="42">
        <f>D12</f>
        <v>0.61145</v>
      </c>
      <c r="E11" s="43">
        <f t="shared" si="0"/>
        <v>26.584782608695654</v>
      </c>
    </row>
    <row r="12" spans="1:5" ht="20.25">
      <c r="A12" s="13">
        <v>1030200</v>
      </c>
      <c r="B12" s="80" t="s">
        <v>118</v>
      </c>
      <c r="C12" s="40">
        <v>2.3</v>
      </c>
      <c r="D12" s="40">
        <v>0.61145</v>
      </c>
      <c r="E12" s="41">
        <f t="shared" si="0"/>
        <v>26.584782608695654</v>
      </c>
    </row>
    <row r="13" spans="1:5" ht="20.25">
      <c r="A13" s="12">
        <v>1050000</v>
      </c>
      <c r="B13" s="78" t="s">
        <v>9</v>
      </c>
      <c r="C13" s="42">
        <f>SUM(C14:C17)</f>
        <v>69809.5</v>
      </c>
      <c r="D13" s="42">
        <f>SUM(D14:D17)</f>
        <v>7724.18265</v>
      </c>
      <c r="E13" s="43">
        <f t="shared" si="0"/>
        <v>11.064658320142675</v>
      </c>
    </row>
    <row r="14" spans="1:5" ht="40.5">
      <c r="A14" s="13">
        <v>1050100</v>
      </c>
      <c r="B14" s="80" t="s">
        <v>156</v>
      </c>
      <c r="C14" s="45">
        <v>64702.7</v>
      </c>
      <c r="D14" s="45">
        <v>3135.17665</v>
      </c>
      <c r="E14" s="41">
        <f t="shared" si="0"/>
        <v>4.845511315601977</v>
      </c>
    </row>
    <row r="15" spans="1:5" ht="40.5">
      <c r="A15" s="13">
        <v>1050200</v>
      </c>
      <c r="B15" s="81" t="s">
        <v>10</v>
      </c>
      <c r="C15" s="40">
        <v>15.3</v>
      </c>
      <c r="D15" s="40">
        <v>1.52</v>
      </c>
      <c r="E15" s="41">
        <f t="shared" si="0"/>
        <v>9.934640522875817</v>
      </c>
    </row>
    <row r="16" spans="1:5" ht="20.25">
      <c r="A16" s="13">
        <v>1050300</v>
      </c>
      <c r="B16" s="81" t="s">
        <v>29</v>
      </c>
      <c r="C16" s="40">
        <v>1091.5</v>
      </c>
      <c r="D16" s="40">
        <v>579.579</v>
      </c>
      <c r="E16" s="41">
        <f t="shared" si="0"/>
        <v>53.099312872194226</v>
      </c>
    </row>
    <row r="17" spans="1:5" ht="65.25" customHeight="1">
      <c r="A17" s="13">
        <v>1050400</v>
      </c>
      <c r="B17" s="81" t="s">
        <v>182</v>
      </c>
      <c r="C17" s="40">
        <v>4000</v>
      </c>
      <c r="D17" s="40">
        <v>4007.907</v>
      </c>
      <c r="E17" s="41">
        <f t="shared" si="0"/>
        <v>100.197675</v>
      </c>
    </row>
    <row r="18" spans="1:5" ht="20.25" hidden="1">
      <c r="A18" s="13">
        <v>1060000</v>
      </c>
      <c r="B18" s="82" t="s">
        <v>11</v>
      </c>
      <c r="C18" s="40">
        <f>SUM(C19:C20)</f>
        <v>0</v>
      </c>
      <c r="D18" s="40"/>
      <c r="E18" s="41"/>
    </row>
    <row r="19" spans="1:5" ht="20.25" hidden="1">
      <c r="A19" s="13">
        <v>1060100</v>
      </c>
      <c r="B19" s="81" t="s">
        <v>61</v>
      </c>
      <c r="C19" s="40"/>
      <c r="D19" s="40"/>
      <c r="E19" s="41"/>
    </row>
    <row r="20" spans="1:5" ht="20.25" hidden="1">
      <c r="A20" s="13">
        <v>1060600</v>
      </c>
      <c r="B20" s="81" t="s">
        <v>12</v>
      </c>
      <c r="C20" s="40">
        <v>0</v>
      </c>
      <c r="D20" s="40"/>
      <c r="E20" s="41"/>
    </row>
    <row r="21" spans="1:5" ht="18" customHeight="1">
      <c r="A21" s="12">
        <v>1080000</v>
      </c>
      <c r="B21" s="78" t="s">
        <v>13</v>
      </c>
      <c r="C21" s="42">
        <f>SUM(C22:C24)</f>
        <v>5800</v>
      </c>
      <c r="D21" s="42">
        <f>SUM(D22:D24)</f>
        <v>2036.816</v>
      </c>
      <c r="E21" s="41">
        <f t="shared" si="0"/>
        <v>35.11751724137931</v>
      </c>
    </row>
    <row r="22" spans="1:5" ht="71.25" customHeight="1">
      <c r="A22" s="13">
        <v>1080300</v>
      </c>
      <c r="B22" s="81" t="s">
        <v>62</v>
      </c>
      <c r="C22" s="40">
        <v>5800</v>
      </c>
      <c r="D22" s="40">
        <v>2036.816</v>
      </c>
      <c r="E22" s="41">
        <f aca="true" t="shared" si="1" ref="E22:E30">D22/C22*100</f>
        <v>35.11751724137931</v>
      </c>
    </row>
    <row r="23" spans="1:5" ht="101.25" hidden="1">
      <c r="A23" s="13">
        <v>1080700</v>
      </c>
      <c r="B23" s="81" t="s">
        <v>63</v>
      </c>
      <c r="C23" s="40"/>
      <c r="D23" s="40"/>
      <c r="E23" s="41" t="e">
        <f t="shared" si="1"/>
        <v>#DIV/0!</v>
      </c>
    </row>
    <row r="24" spans="1:5" ht="40.5" hidden="1">
      <c r="A24" s="13">
        <v>1080715</v>
      </c>
      <c r="B24" s="81" t="s">
        <v>170</v>
      </c>
      <c r="C24" s="40">
        <v>0</v>
      </c>
      <c r="D24" s="40"/>
      <c r="E24" s="41"/>
    </row>
    <row r="25" spans="1:5" ht="36.75" customHeight="1" hidden="1">
      <c r="A25" s="12">
        <v>1090000</v>
      </c>
      <c r="B25" s="82" t="s">
        <v>64</v>
      </c>
      <c r="C25" s="42">
        <f>C28</f>
        <v>0</v>
      </c>
      <c r="D25" s="42">
        <f>D28</f>
        <v>0</v>
      </c>
      <c r="E25" s="41"/>
    </row>
    <row r="26" spans="1:5" ht="20.25" hidden="1">
      <c r="A26" s="13">
        <v>1090100</v>
      </c>
      <c r="B26" s="80" t="s">
        <v>65</v>
      </c>
      <c r="C26" s="40"/>
      <c r="D26" s="40"/>
      <c r="E26" s="41"/>
    </row>
    <row r="27" spans="1:5" ht="40.5" hidden="1">
      <c r="A27" s="13">
        <v>1090400</v>
      </c>
      <c r="B27" s="80" t="s">
        <v>66</v>
      </c>
      <c r="C27" s="40"/>
      <c r="D27" s="40"/>
      <c r="E27" s="41"/>
    </row>
    <row r="28" spans="1:5" ht="20.25" hidden="1">
      <c r="A28" s="13">
        <v>1090700</v>
      </c>
      <c r="B28" s="80" t="s">
        <v>67</v>
      </c>
      <c r="C28" s="40">
        <v>0</v>
      </c>
      <c r="D28" s="40">
        <v>0</v>
      </c>
      <c r="E28" s="41"/>
    </row>
    <row r="29" spans="1:5" ht="66" customHeight="1">
      <c r="A29" s="12">
        <v>1110000</v>
      </c>
      <c r="B29" s="83" t="s">
        <v>34</v>
      </c>
      <c r="C29" s="42">
        <f>C34+C31+C35+C30+C36+C32+C33</f>
        <v>6989.7</v>
      </c>
      <c r="D29" s="42">
        <f>D34+D31+D35+D30+D36+D32+D33</f>
        <v>3093.93075</v>
      </c>
      <c r="E29" s="41">
        <f t="shared" si="1"/>
        <v>44.264142237864284</v>
      </c>
    </row>
    <row r="30" spans="1:5" ht="60.75" hidden="1">
      <c r="A30" s="13">
        <v>1110305</v>
      </c>
      <c r="B30" s="81" t="s">
        <v>68</v>
      </c>
      <c r="C30" s="40"/>
      <c r="D30" s="40"/>
      <c r="E30" s="41" t="e">
        <f t="shared" si="1"/>
        <v>#DIV/0!</v>
      </c>
    </row>
    <row r="31" spans="1:5" ht="60.75">
      <c r="A31" s="13">
        <v>1110501</v>
      </c>
      <c r="B31" s="84" t="s">
        <v>124</v>
      </c>
      <c r="C31" s="40">
        <v>4877.5</v>
      </c>
      <c r="D31" s="40">
        <v>2860.739</v>
      </c>
      <c r="E31" s="41">
        <f aca="true" t="shared" si="2" ref="E31:E44">D31/C31*100</f>
        <v>58.65174782162993</v>
      </c>
    </row>
    <row r="32" spans="1:5" ht="105" customHeight="1">
      <c r="A32" s="13">
        <v>1110502</v>
      </c>
      <c r="B32" s="81" t="s">
        <v>192</v>
      </c>
      <c r="C32" s="40">
        <v>1592.8</v>
      </c>
      <c r="D32" s="40">
        <v>99.795</v>
      </c>
      <c r="E32" s="41">
        <f t="shared" si="2"/>
        <v>6.265381717729785</v>
      </c>
    </row>
    <row r="33" spans="1:5" ht="121.5">
      <c r="A33" s="13">
        <v>1110503</v>
      </c>
      <c r="B33" s="81" t="s">
        <v>120</v>
      </c>
      <c r="C33" s="40">
        <v>59.1</v>
      </c>
      <c r="D33" s="40">
        <v>1.28244</v>
      </c>
      <c r="E33" s="41">
        <f t="shared" si="2"/>
        <v>2.1699492385786803</v>
      </c>
    </row>
    <row r="34" spans="1:5" ht="60.75">
      <c r="A34" s="13">
        <v>1110507</v>
      </c>
      <c r="B34" s="81" t="s">
        <v>119</v>
      </c>
      <c r="C34" s="40">
        <v>458.4</v>
      </c>
      <c r="D34" s="40">
        <v>132.11431</v>
      </c>
      <c r="E34" s="41">
        <f t="shared" si="2"/>
        <v>28.820748254799298</v>
      </c>
    </row>
    <row r="35" spans="1:5" ht="40.5" hidden="1">
      <c r="A35" s="13">
        <v>1110701</v>
      </c>
      <c r="B35" s="81" t="s">
        <v>70</v>
      </c>
      <c r="C35" s="40"/>
      <c r="D35" s="40"/>
      <c r="E35" s="41"/>
    </row>
    <row r="36" spans="1:5" ht="60.75">
      <c r="A36" s="13">
        <v>1110900</v>
      </c>
      <c r="B36" s="81" t="s">
        <v>69</v>
      </c>
      <c r="C36" s="40">
        <v>1.9</v>
      </c>
      <c r="D36" s="40">
        <v>0</v>
      </c>
      <c r="E36" s="41">
        <f t="shared" si="2"/>
        <v>0</v>
      </c>
    </row>
    <row r="37" spans="1:6" ht="40.5">
      <c r="A37" s="12">
        <v>1120100</v>
      </c>
      <c r="B37" s="78" t="s">
        <v>71</v>
      </c>
      <c r="C37" s="42">
        <v>217.1</v>
      </c>
      <c r="D37" s="42">
        <v>141.233</v>
      </c>
      <c r="E37" s="43">
        <f t="shared" si="2"/>
        <v>65.05435283279594</v>
      </c>
      <c r="F37" s="1"/>
    </row>
    <row r="38" spans="1:5" ht="40.5">
      <c r="A38" s="12">
        <v>1130000</v>
      </c>
      <c r="B38" s="78" t="s">
        <v>36</v>
      </c>
      <c r="C38" s="42">
        <f>C39+C40</f>
        <v>1200</v>
      </c>
      <c r="D38" s="42">
        <f>D39+D40</f>
        <v>1340.21</v>
      </c>
      <c r="E38" s="43">
        <f t="shared" si="2"/>
        <v>111.68416666666667</v>
      </c>
    </row>
    <row r="39" spans="1:5" ht="61.5" customHeight="1">
      <c r="A39" s="13">
        <v>1130100</v>
      </c>
      <c r="B39" s="80" t="s">
        <v>128</v>
      </c>
      <c r="C39" s="45">
        <v>1200</v>
      </c>
      <c r="D39" s="45">
        <v>404.242</v>
      </c>
      <c r="E39" s="46">
        <f t="shared" si="2"/>
        <v>33.68683333333333</v>
      </c>
    </row>
    <row r="40" spans="1:5" ht="48" customHeight="1">
      <c r="A40" s="13">
        <v>1130200</v>
      </c>
      <c r="B40" s="80" t="s">
        <v>129</v>
      </c>
      <c r="C40" s="45">
        <v>0</v>
      </c>
      <c r="D40" s="45">
        <v>935.968</v>
      </c>
      <c r="E40" s="46" t="e">
        <f t="shared" si="2"/>
        <v>#DIV/0!</v>
      </c>
    </row>
    <row r="41" spans="1:5" ht="40.5" customHeight="1">
      <c r="A41" s="13">
        <v>1140000</v>
      </c>
      <c r="B41" s="78" t="s">
        <v>72</v>
      </c>
      <c r="C41" s="42">
        <v>645.4</v>
      </c>
      <c r="D41" s="42">
        <v>3848.93933</v>
      </c>
      <c r="E41" s="46">
        <f t="shared" si="2"/>
        <v>596.364941121785</v>
      </c>
    </row>
    <row r="42" spans="1:5" ht="162" hidden="1">
      <c r="A42" s="13">
        <v>1140200</v>
      </c>
      <c r="B42" s="80" t="s">
        <v>171</v>
      </c>
      <c r="C42" s="45">
        <v>0</v>
      </c>
      <c r="D42" s="45">
        <v>0</v>
      </c>
      <c r="E42" s="46"/>
    </row>
    <row r="43" spans="1:5" ht="44.25" customHeight="1" hidden="1">
      <c r="A43" s="13">
        <v>1140600</v>
      </c>
      <c r="B43" s="80" t="s">
        <v>172</v>
      </c>
      <c r="C43" s="45">
        <v>220.8</v>
      </c>
      <c r="D43" s="45">
        <v>800.031</v>
      </c>
      <c r="E43" s="46">
        <f t="shared" si="2"/>
        <v>362.33288043478257</v>
      </c>
    </row>
    <row r="44" spans="1:5" ht="60.75" customHeight="1" hidden="1">
      <c r="A44" s="13">
        <v>1141300</v>
      </c>
      <c r="B44" s="80" t="s">
        <v>173</v>
      </c>
      <c r="C44" s="45">
        <v>523.47</v>
      </c>
      <c r="D44" s="45">
        <v>392.603</v>
      </c>
      <c r="E44" s="46">
        <f t="shared" si="2"/>
        <v>75.00009551645749</v>
      </c>
    </row>
    <row r="45" spans="1:5" ht="20.25">
      <c r="A45" s="13">
        <v>1160000</v>
      </c>
      <c r="B45" s="78" t="s">
        <v>14</v>
      </c>
      <c r="C45" s="42">
        <v>1480.4</v>
      </c>
      <c r="D45" s="42">
        <v>280.456</v>
      </c>
      <c r="E45" s="43">
        <f>D45/C45*100</f>
        <v>18.944609564982436</v>
      </c>
    </row>
    <row r="46" spans="1:5" ht="38.25" customHeight="1" hidden="1">
      <c r="A46" s="13">
        <v>1160100</v>
      </c>
      <c r="B46" s="85" t="s">
        <v>157</v>
      </c>
      <c r="C46" s="45">
        <v>498.02</v>
      </c>
      <c r="D46" s="45">
        <v>412.862</v>
      </c>
      <c r="E46" s="41">
        <f>D46/C46*100</f>
        <v>82.90068671940887</v>
      </c>
    </row>
    <row r="47" spans="1:5" ht="222.75" hidden="1">
      <c r="A47" s="13">
        <v>1160700</v>
      </c>
      <c r="B47" s="85" t="s">
        <v>158</v>
      </c>
      <c r="C47" s="45">
        <v>0</v>
      </c>
      <c r="D47" s="45">
        <v>35.28</v>
      </c>
      <c r="E47" s="41"/>
    </row>
    <row r="48" spans="1:5" ht="21.75" customHeight="1" hidden="1">
      <c r="A48" s="13">
        <v>1161000</v>
      </c>
      <c r="B48" s="81" t="s">
        <v>159</v>
      </c>
      <c r="C48" s="45">
        <v>12.3</v>
      </c>
      <c r="D48" s="45">
        <v>60.22351</v>
      </c>
      <c r="E48" s="41"/>
    </row>
    <row r="49" spans="1:5" ht="18" customHeight="1" hidden="1">
      <c r="A49" s="13">
        <v>1161100</v>
      </c>
      <c r="B49" s="81" t="s">
        <v>160</v>
      </c>
      <c r="C49" s="45">
        <v>1765.457</v>
      </c>
      <c r="D49" s="45">
        <v>1393.125</v>
      </c>
      <c r="E49" s="41"/>
    </row>
    <row r="50" spans="1:5" ht="18" customHeight="1" hidden="1">
      <c r="A50" s="13">
        <v>1170000</v>
      </c>
      <c r="B50" s="82" t="s">
        <v>15</v>
      </c>
      <c r="C50" s="42">
        <v>0</v>
      </c>
      <c r="D50" s="42"/>
      <c r="E50" s="41"/>
    </row>
    <row r="51" spans="1:5" ht="20.25" hidden="1">
      <c r="A51" s="13">
        <v>1180000</v>
      </c>
      <c r="B51" s="82" t="s">
        <v>73</v>
      </c>
      <c r="C51" s="42"/>
      <c r="D51" s="42"/>
      <c r="E51" s="43"/>
    </row>
    <row r="52" spans="1:5" ht="20.25">
      <c r="A52" s="13"/>
      <c r="B52" s="86" t="s">
        <v>16</v>
      </c>
      <c r="C52" s="40">
        <f>SUM(C5)</f>
        <v>211963.9</v>
      </c>
      <c r="D52" s="40">
        <f>SUM(D5)</f>
        <v>46302.65177</v>
      </c>
      <c r="E52" s="41">
        <f aca="true" t="shared" si="3" ref="E52:E58">D52/C52*100</f>
        <v>21.84459323969789</v>
      </c>
    </row>
    <row r="53" spans="1:5" ht="20.25">
      <c r="A53" s="15">
        <v>2000000</v>
      </c>
      <c r="B53" s="87" t="s">
        <v>74</v>
      </c>
      <c r="C53" s="47">
        <f>C54+C63+C64+C65</f>
        <v>1766832.529</v>
      </c>
      <c r="D53" s="47">
        <f>D54+D63+D64+D65</f>
        <v>590553.804</v>
      </c>
      <c r="E53" s="48">
        <f t="shared" si="3"/>
        <v>33.424435780240266</v>
      </c>
    </row>
    <row r="54" spans="1:5" ht="20.25" customHeight="1">
      <c r="A54" s="13">
        <v>2020000</v>
      </c>
      <c r="B54" s="80" t="s">
        <v>17</v>
      </c>
      <c r="C54" s="40">
        <f>C55+C59+C60+C61+C62</f>
        <v>1766832.529</v>
      </c>
      <c r="D54" s="40">
        <f>D55+D59+D60+D61+D62</f>
        <v>591435.275</v>
      </c>
      <c r="E54" s="41">
        <f t="shared" si="3"/>
        <v>33.47432568126551</v>
      </c>
    </row>
    <row r="55" spans="1:5" ht="15.75" customHeight="1">
      <c r="A55" s="13">
        <v>2021000</v>
      </c>
      <c r="B55" s="80" t="s">
        <v>75</v>
      </c>
      <c r="C55" s="40">
        <f>SUM(C56:C57)+C58</f>
        <v>864084.1000000001</v>
      </c>
      <c r="D55" s="40">
        <f>SUM(D56:D57)+D58</f>
        <v>347309.6</v>
      </c>
      <c r="E55" s="41">
        <f t="shared" si="3"/>
        <v>40.193957972377916</v>
      </c>
    </row>
    <row r="56" spans="1:5" ht="40.5">
      <c r="A56" s="13"/>
      <c r="B56" s="80" t="s">
        <v>76</v>
      </c>
      <c r="C56" s="40">
        <v>389651.5</v>
      </c>
      <c r="D56" s="40">
        <v>315149.1</v>
      </c>
      <c r="E56" s="41">
        <f t="shared" si="3"/>
        <v>80.8797348399788</v>
      </c>
    </row>
    <row r="57" spans="1:5" ht="21" customHeight="1">
      <c r="A57" s="13"/>
      <c r="B57" s="80" t="s">
        <v>77</v>
      </c>
      <c r="C57" s="40">
        <v>291376.3</v>
      </c>
      <c r="D57" s="40">
        <v>0</v>
      </c>
      <c r="E57" s="41">
        <f t="shared" si="3"/>
        <v>0</v>
      </c>
    </row>
    <row r="58" spans="1:5" ht="20.25">
      <c r="A58" s="13"/>
      <c r="B58" s="80" t="s">
        <v>78</v>
      </c>
      <c r="C58" s="40">
        <v>183056.3</v>
      </c>
      <c r="D58" s="40">
        <v>32160.5</v>
      </c>
      <c r="E58" s="41">
        <f t="shared" si="3"/>
        <v>17.568638719344815</v>
      </c>
    </row>
    <row r="59" spans="1:6" ht="20.25">
      <c r="A59" s="13">
        <v>2022000</v>
      </c>
      <c r="B59" s="80" t="s">
        <v>19</v>
      </c>
      <c r="C59" s="40">
        <v>104103.293</v>
      </c>
      <c r="D59" s="40">
        <v>17919.008</v>
      </c>
      <c r="E59" s="41">
        <f aca="true" t="shared" si="4" ref="E59:E66">D59/C59*100</f>
        <v>17.212719678329485</v>
      </c>
      <c r="F59" s="5"/>
    </row>
    <row r="60" spans="1:5" ht="20.25">
      <c r="A60" s="13">
        <v>2023000</v>
      </c>
      <c r="B60" s="80" t="s">
        <v>18</v>
      </c>
      <c r="C60" s="40">
        <v>738474.288</v>
      </c>
      <c r="D60" s="40">
        <v>204692.755</v>
      </c>
      <c r="E60" s="41">
        <f t="shared" si="4"/>
        <v>27.718332015914417</v>
      </c>
    </row>
    <row r="61" spans="1:5" ht="17.25" customHeight="1">
      <c r="A61" s="13">
        <v>2024000</v>
      </c>
      <c r="B61" s="81" t="s">
        <v>99</v>
      </c>
      <c r="C61" s="40">
        <v>60170.848</v>
      </c>
      <c r="D61" s="40">
        <v>21513.912</v>
      </c>
      <c r="E61" s="41">
        <f t="shared" si="4"/>
        <v>35.75470965607798</v>
      </c>
    </row>
    <row r="62" spans="1:5" ht="20.25" hidden="1">
      <c r="A62" s="13">
        <v>2020900</v>
      </c>
      <c r="B62" s="81" t="s">
        <v>79</v>
      </c>
      <c r="C62" s="40"/>
      <c r="D62" s="40"/>
      <c r="E62" s="41"/>
    </row>
    <row r="63" spans="1:5" ht="165" customHeight="1" hidden="1">
      <c r="A63" s="13" t="s">
        <v>218</v>
      </c>
      <c r="B63" s="81" t="s">
        <v>217</v>
      </c>
      <c r="C63" s="40">
        <v>0</v>
      </c>
      <c r="D63" s="40"/>
      <c r="E63" s="41"/>
    </row>
    <row r="64" spans="1:5" ht="23.25" customHeight="1">
      <c r="A64" s="28">
        <v>2180000</v>
      </c>
      <c r="B64" s="88" t="s">
        <v>73</v>
      </c>
      <c r="C64" s="38">
        <v>0</v>
      </c>
      <c r="D64" s="38">
        <v>733.61</v>
      </c>
      <c r="E64" s="49"/>
    </row>
    <row r="65" spans="1:5" ht="40.5">
      <c r="A65" s="28">
        <v>2190000</v>
      </c>
      <c r="B65" s="88" t="s">
        <v>48</v>
      </c>
      <c r="C65" s="38">
        <v>0</v>
      </c>
      <c r="D65" s="38">
        <v>-1615.081</v>
      </c>
      <c r="E65" s="49"/>
    </row>
    <row r="66" spans="1:5" ht="0.75" customHeight="1">
      <c r="A66" s="187">
        <v>3000000</v>
      </c>
      <c r="B66" s="188" t="s">
        <v>20</v>
      </c>
      <c r="C66" s="189">
        <f>SUM(C68:C70)</f>
        <v>0</v>
      </c>
      <c r="D66" s="189">
        <f>SUM(D68:D70)</f>
        <v>0</v>
      </c>
      <c r="E66" s="193" t="e">
        <f t="shared" si="4"/>
        <v>#DIV/0!</v>
      </c>
    </row>
    <row r="67" spans="1:5" ht="29.25" customHeight="1" hidden="1">
      <c r="A67" s="187"/>
      <c r="B67" s="188"/>
      <c r="C67" s="189"/>
      <c r="D67" s="189"/>
      <c r="E67" s="193"/>
    </row>
    <row r="68" spans="1:5" ht="18.75" customHeight="1" hidden="1">
      <c r="A68" s="13">
        <v>3020100</v>
      </c>
      <c r="B68" s="90" t="s">
        <v>80</v>
      </c>
      <c r="C68" s="45"/>
      <c r="D68" s="45"/>
      <c r="E68" s="46" t="e">
        <f>D68/C68*100</f>
        <v>#DIV/0!</v>
      </c>
    </row>
    <row r="69" spans="1:5" ht="40.5" hidden="1">
      <c r="A69" s="13">
        <v>3030200</v>
      </c>
      <c r="B69" s="90" t="s">
        <v>81</v>
      </c>
      <c r="C69" s="45"/>
      <c r="D69" s="45"/>
      <c r="E69" s="46" t="e">
        <f>D69/C69*100</f>
        <v>#DIV/0!</v>
      </c>
    </row>
    <row r="70" spans="1:5" ht="60.75" hidden="1">
      <c r="A70" s="13">
        <v>3030300</v>
      </c>
      <c r="B70" s="90" t="s">
        <v>82</v>
      </c>
      <c r="C70" s="45"/>
      <c r="D70" s="45"/>
      <c r="E70" s="46" t="e">
        <f>D70/C70*100</f>
        <v>#DIV/0!</v>
      </c>
    </row>
    <row r="71" spans="1:5" ht="27" customHeight="1">
      <c r="A71" s="29"/>
      <c r="B71" s="91" t="s">
        <v>21</v>
      </c>
      <c r="C71" s="50">
        <f>SUM(C52+C53+C66)</f>
        <v>1978796.429</v>
      </c>
      <c r="D71" s="50">
        <f>SUM(D52+D53+D66)</f>
        <v>636856.45577</v>
      </c>
      <c r="E71" s="51">
        <f>D71/C71*100</f>
        <v>32.18403098149113</v>
      </c>
    </row>
    <row r="72" spans="1:5" ht="20.25">
      <c r="A72" s="12"/>
      <c r="B72" s="92"/>
      <c r="C72" s="52"/>
      <c r="D72" s="52"/>
      <c r="E72" s="41"/>
    </row>
    <row r="73" spans="1:5" ht="18.75">
      <c r="A73" s="190" t="s">
        <v>22</v>
      </c>
      <c r="B73" s="191"/>
      <c r="C73" s="191"/>
      <c r="D73" s="191"/>
      <c r="E73" s="192"/>
    </row>
    <row r="74" spans="1:5" ht="20.25">
      <c r="A74" s="15" t="s">
        <v>190</v>
      </c>
      <c r="B74" s="87" t="s">
        <v>30</v>
      </c>
      <c r="C74" s="47">
        <f>C75+C77+C81+C86+C90+C92+C89+C84+C91</f>
        <v>137096.129</v>
      </c>
      <c r="D74" s="47">
        <f>D75+D77+D81+D86+D90+D92+D89+D84+D91</f>
        <v>36864.207389999996</v>
      </c>
      <c r="E74" s="49">
        <f>D74/C74*100</f>
        <v>26.889313111094477</v>
      </c>
    </row>
    <row r="75" spans="1:5" ht="60.75">
      <c r="A75" s="16" t="s">
        <v>133</v>
      </c>
      <c r="B75" s="93" t="s">
        <v>83</v>
      </c>
      <c r="C75" s="53">
        <f>C76</f>
        <v>2819.556</v>
      </c>
      <c r="D75" s="53">
        <f>D76</f>
        <v>767.42333</v>
      </c>
      <c r="E75" s="41">
        <f>D75/C75*100</f>
        <v>27.217878630536152</v>
      </c>
    </row>
    <row r="76" spans="1:5" ht="20.25">
      <c r="A76" s="30"/>
      <c r="B76" s="80" t="s">
        <v>26</v>
      </c>
      <c r="C76" s="40">
        <v>2819.556</v>
      </c>
      <c r="D76" s="40">
        <v>767.42333</v>
      </c>
      <c r="E76" s="41">
        <f>D76/C76*100</f>
        <v>27.217878630536152</v>
      </c>
    </row>
    <row r="77" spans="1:5" ht="60.75">
      <c r="A77" s="16" t="s">
        <v>134</v>
      </c>
      <c r="B77" s="82" t="s">
        <v>84</v>
      </c>
      <c r="C77" s="53">
        <f>SUM(C78:C80)</f>
        <v>5493.403</v>
      </c>
      <c r="D77" s="53">
        <f>SUM(D78:D80)</f>
        <v>1603.826</v>
      </c>
      <c r="E77" s="41">
        <f aca="true" t="shared" si="5" ref="E77:E92">D77/C77*100</f>
        <v>29.195491392129796</v>
      </c>
    </row>
    <row r="78" spans="1:5" ht="20.25">
      <c r="A78" s="30"/>
      <c r="B78" s="81" t="s">
        <v>85</v>
      </c>
      <c r="C78" s="40">
        <f>3402.028+1027.414</f>
        <v>4429.442</v>
      </c>
      <c r="D78" s="40">
        <f>943.872+258.897</f>
        <v>1202.769</v>
      </c>
      <c r="E78" s="41">
        <f t="shared" si="5"/>
        <v>27.153962056620223</v>
      </c>
    </row>
    <row r="79" spans="1:5" ht="40.5">
      <c r="A79" s="30"/>
      <c r="B79" s="81" t="s">
        <v>205</v>
      </c>
      <c r="C79" s="40">
        <v>297.9</v>
      </c>
      <c r="D79" s="40">
        <v>83.5356</v>
      </c>
      <c r="E79" s="41"/>
    </row>
    <row r="80" spans="1:5" ht="20.25">
      <c r="A80" s="30"/>
      <c r="B80" s="80" t="s">
        <v>23</v>
      </c>
      <c r="C80" s="40">
        <f>5493.403-C78-C79</f>
        <v>766.0610000000003</v>
      </c>
      <c r="D80" s="40">
        <f>1603.826-D78-D79</f>
        <v>317.5214</v>
      </c>
      <c r="E80" s="41">
        <f t="shared" si="5"/>
        <v>41.4485791601452</v>
      </c>
    </row>
    <row r="81" spans="1:5" ht="19.5" customHeight="1">
      <c r="A81" s="16" t="s">
        <v>135</v>
      </c>
      <c r="B81" s="78" t="s">
        <v>86</v>
      </c>
      <c r="C81" s="53">
        <f>SUM(C82:C83)</f>
        <v>66759.929</v>
      </c>
      <c r="D81" s="53">
        <f>SUM(D82:D83)</f>
        <v>17586.18748</v>
      </c>
      <c r="E81" s="41">
        <f t="shared" si="5"/>
        <v>26.342429872865804</v>
      </c>
    </row>
    <row r="82" spans="1:5" ht="20.25">
      <c r="A82" s="30"/>
      <c r="B82" s="80" t="s">
        <v>45</v>
      </c>
      <c r="C82" s="40">
        <f>40672.915+12283.221</f>
        <v>52956.136</v>
      </c>
      <c r="D82" s="40">
        <f>10714.70767+2888.45933</f>
        <v>13603.167</v>
      </c>
      <c r="E82" s="41">
        <f t="shared" si="5"/>
        <v>25.68761247988335</v>
      </c>
    </row>
    <row r="83" spans="1:5" ht="20.25">
      <c r="A83" s="30"/>
      <c r="B83" s="80" t="s">
        <v>40</v>
      </c>
      <c r="C83" s="40">
        <f>66759.929-C82</f>
        <v>13803.793000000005</v>
      </c>
      <c r="D83" s="40">
        <f>17586.18748-D82</f>
        <v>3983.020480000001</v>
      </c>
      <c r="E83" s="41">
        <f t="shared" si="5"/>
        <v>28.85453643067525</v>
      </c>
    </row>
    <row r="84" spans="1:5" ht="20.25">
      <c r="A84" s="16" t="s">
        <v>136</v>
      </c>
      <c r="B84" s="78" t="s">
        <v>49</v>
      </c>
      <c r="C84" s="53">
        <f>SUM(C85)</f>
        <v>13.3</v>
      </c>
      <c r="D84" s="53">
        <f>SUM(D85)</f>
        <v>0</v>
      </c>
      <c r="E84" s="41">
        <f t="shared" si="5"/>
        <v>0</v>
      </c>
    </row>
    <row r="85" spans="1:5" ht="20.25">
      <c r="A85" s="30"/>
      <c r="B85" s="80" t="s">
        <v>50</v>
      </c>
      <c r="C85" s="40">
        <v>13.3</v>
      </c>
      <c r="D85" s="40">
        <v>0</v>
      </c>
      <c r="E85" s="41">
        <f t="shared" si="5"/>
        <v>0</v>
      </c>
    </row>
    <row r="86" spans="1:5" ht="81">
      <c r="A86" s="16" t="s">
        <v>137</v>
      </c>
      <c r="B86" s="82" t="s">
        <v>174</v>
      </c>
      <c r="C86" s="53">
        <f>SUM(C87:C88)</f>
        <v>22349.057</v>
      </c>
      <c r="D86" s="53">
        <f>SUM(D87:D88)</f>
        <v>6631.37</v>
      </c>
      <c r="E86" s="41">
        <f t="shared" si="5"/>
        <v>29.67181120885771</v>
      </c>
    </row>
    <row r="87" spans="1:5" ht="20.25">
      <c r="A87" s="30"/>
      <c r="B87" s="80" t="s">
        <v>45</v>
      </c>
      <c r="C87" s="40">
        <f>15331.155+4630.011</f>
        <v>19961.166</v>
      </c>
      <c r="D87" s="40">
        <f>4595.955+1349.089</f>
        <v>5945.044</v>
      </c>
      <c r="E87" s="41">
        <f t="shared" si="5"/>
        <v>29.783049747695095</v>
      </c>
    </row>
    <row r="88" spans="1:5" ht="17.25" customHeight="1">
      <c r="A88" s="30"/>
      <c r="B88" s="80" t="s">
        <v>40</v>
      </c>
      <c r="C88" s="40">
        <f>22349.057-C87</f>
        <v>2387.8909999999996</v>
      </c>
      <c r="D88" s="40">
        <f>6631.37-D87</f>
        <v>686.326</v>
      </c>
      <c r="E88" s="41">
        <f t="shared" si="5"/>
        <v>28.74193168783668</v>
      </c>
    </row>
    <row r="89" spans="1:5" ht="40.5" hidden="1">
      <c r="A89" s="16" t="s">
        <v>138</v>
      </c>
      <c r="B89" s="82" t="s">
        <v>37</v>
      </c>
      <c r="C89" s="53"/>
      <c r="D89" s="53"/>
      <c r="E89" s="41" t="e">
        <f t="shared" si="5"/>
        <v>#DIV/0!</v>
      </c>
    </row>
    <row r="90" spans="1:5" ht="20.25">
      <c r="A90" s="16" t="s">
        <v>139</v>
      </c>
      <c r="B90" s="82" t="s">
        <v>88</v>
      </c>
      <c r="C90" s="53">
        <v>824.644</v>
      </c>
      <c r="D90" s="53">
        <v>0</v>
      </c>
      <c r="E90" s="41">
        <f t="shared" si="5"/>
        <v>0</v>
      </c>
    </row>
    <row r="91" spans="1:5" ht="40.5" hidden="1">
      <c r="A91" s="16">
        <v>107</v>
      </c>
      <c r="B91" s="82" t="s">
        <v>37</v>
      </c>
      <c r="C91" s="53">
        <v>0</v>
      </c>
      <c r="D91" s="53">
        <v>0</v>
      </c>
      <c r="E91" s="41" t="e">
        <f t="shared" si="5"/>
        <v>#DIV/0!</v>
      </c>
    </row>
    <row r="92" spans="1:5" ht="20.25">
      <c r="A92" s="16" t="s">
        <v>140</v>
      </c>
      <c r="B92" s="82" t="s">
        <v>38</v>
      </c>
      <c r="C92" s="53">
        <f>SUM(C93:C95)</f>
        <v>38836.24</v>
      </c>
      <c r="D92" s="53">
        <f>SUM(D93:D95)</f>
        <v>10275.40058</v>
      </c>
      <c r="E92" s="41">
        <f t="shared" si="5"/>
        <v>26.458278607815792</v>
      </c>
    </row>
    <row r="93" spans="1:5" ht="20.25">
      <c r="A93" s="13"/>
      <c r="B93" s="81" t="s">
        <v>39</v>
      </c>
      <c r="C93" s="54">
        <f>20200.875+6100.662+5844.081+1764.912</f>
        <v>33910.53</v>
      </c>
      <c r="D93" s="54">
        <f>5335.411+1471.792+1545.571+396.175</f>
        <v>8748.948999999999</v>
      </c>
      <c r="E93" s="41">
        <f aca="true" t="shared" si="6" ref="E93:E184">D93/C93*100</f>
        <v>25.80009513269182</v>
      </c>
    </row>
    <row r="94" spans="1:5" ht="20.25">
      <c r="A94" s="13"/>
      <c r="B94" s="81" t="s">
        <v>50</v>
      </c>
      <c r="C94" s="54">
        <f>38836.24-C93-C95</f>
        <v>4706.409999999999</v>
      </c>
      <c r="D94" s="54">
        <f>10275.40058-D93-D95</f>
        <v>1466.052580000001</v>
      </c>
      <c r="E94" s="41">
        <f t="shared" si="6"/>
        <v>31.150124617277314</v>
      </c>
    </row>
    <row r="95" spans="1:5" ht="40.5">
      <c r="A95" s="13"/>
      <c r="B95" s="97" t="s">
        <v>206</v>
      </c>
      <c r="C95" s="54">
        <v>219.3</v>
      </c>
      <c r="D95" s="54">
        <v>60.399</v>
      </c>
      <c r="E95" s="41">
        <f t="shared" si="6"/>
        <v>27.54172366621067</v>
      </c>
    </row>
    <row r="96" spans="1:5" ht="20.25">
      <c r="A96" s="14" t="s">
        <v>150</v>
      </c>
      <c r="B96" s="94" t="s">
        <v>47</v>
      </c>
      <c r="C96" s="47">
        <f>C97</f>
        <v>3471.1</v>
      </c>
      <c r="D96" s="47">
        <f>D97</f>
        <v>1101.202</v>
      </c>
      <c r="E96" s="48">
        <f t="shared" si="6"/>
        <v>31.724871078332516</v>
      </c>
    </row>
    <row r="97" spans="1:5" ht="40.5">
      <c r="A97" s="16" t="s">
        <v>151</v>
      </c>
      <c r="B97" s="95" t="s">
        <v>51</v>
      </c>
      <c r="C97" s="40">
        <v>3471.1</v>
      </c>
      <c r="D97" s="40">
        <v>1101.202</v>
      </c>
      <c r="E97" s="41">
        <f t="shared" si="6"/>
        <v>31.724871078332516</v>
      </c>
    </row>
    <row r="98" spans="1:5" ht="42" customHeight="1">
      <c r="A98" s="15" t="s">
        <v>152</v>
      </c>
      <c r="B98" s="96" t="s">
        <v>89</v>
      </c>
      <c r="C98" s="47">
        <f>C99+C108+C104</f>
        <v>12243.911</v>
      </c>
      <c r="D98" s="47">
        <f>D99+D108+D104</f>
        <v>7591.412</v>
      </c>
      <c r="E98" s="48">
        <f t="shared" si="6"/>
        <v>62.00152875988726</v>
      </c>
    </row>
    <row r="99" spans="1:5" ht="81" hidden="1">
      <c r="A99" s="12">
        <v>309</v>
      </c>
      <c r="B99" s="78" t="s">
        <v>54</v>
      </c>
      <c r="C99" s="53">
        <f>C100+C101+C103+C102</f>
        <v>0</v>
      </c>
      <c r="D99" s="53">
        <f>D100+D101+D103+D102</f>
        <v>0</v>
      </c>
      <c r="E99" s="41" t="e">
        <f t="shared" si="6"/>
        <v>#DIV/0!</v>
      </c>
    </row>
    <row r="100" spans="1:5" ht="20.25" hidden="1">
      <c r="A100" s="12"/>
      <c r="B100" s="81" t="s">
        <v>39</v>
      </c>
      <c r="C100" s="40">
        <v>0</v>
      </c>
      <c r="D100" s="40">
        <v>0</v>
      </c>
      <c r="E100" s="41" t="e">
        <f t="shared" si="6"/>
        <v>#DIV/0!</v>
      </c>
    </row>
    <row r="101" spans="1:5" ht="15.75" customHeight="1" hidden="1">
      <c r="A101" s="13"/>
      <c r="B101" s="81" t="s">
        <v>50</v>
      </c>
      <c r="C101" s="40">
        <v>0</v>
      </c>
      <c r="D101" s="40">
        <v>0</v>
      </c>
      <c r="E101" s="41" t="e">
        <f t="shared" si="6"/>
        <v>#DIV/0!</v>
      </c>
    </row>
    <row r="102" spans="1:5" ht="20.25" hidden="1">
      <c r="A102" s="13"/>
      <c r="B102" s="80" t="s">
        <v>127</v>
      </c>
      <c r="C102" s="40">
        <v>0</v>
      </c>
      <c r="D102" s="40">
        <v>0</v>
      </c>
      <c r="E102" s="41" t="e">
        <f t="shared" si="6"/>
        <v>#DIV/0!</v>
      </c>
    </row>
    <row r="103" spans="1:5" ht="40.5" hidden="1">
      <c r="A103" s="13"/>
      <c r="B103" s="81" t="s">
        <v>101</v>
      </c>
      <c r="C103" s="40">
        <v>0</v>
      </c>
      <c r="D103" s="40">
        <v>0</v>
      </c>
      <c r="E103" s="41" t="e">
        <f t="shared" si="6"/>
        <v>#DIV/0!</v>
      </c>
    </row>
    <row r="104" spans="1:5" ht="20.25">
      <c r="A104" s="16" t="s">
        <v>168</v>
      </c>
      <c r="B104" s="82" t="s">
        <v>52</v>
      </c>
      <c r="C104" s="53">
        <f>C107+C105+C106</f>
        <v>12131.711</v>
      </c>
      <c r="D104" s="53">
        <f>D107+D105+D106</f>
        <v>7497.412</v>
      </c>
      <c r="E104" s="41">
        <f t="shared" si="6"/>
        <v>61.80012036224735</v>
      </c>
    </row>
    <row r="105" spans="1:5" ht="20.25">
      <c r="A105" s="16"/>
      <c r="B105" s="81" t="s">
        <v>39</v>
      </c>
      <c r="C105" s="40">
        <v>5463.192</v>
      </c>
      <c r="D105" s="40">
        <v>1586.553</v>
      </c>
      <c r="E105" s="41">
        <f t="shared" si="6"/>
        <v>29.04076957207435</v>
      </c>
    </row>
    <row r="106" spans="1:5" ht="21" customHeight="1">
      <c r="A106" s="16"/>
      <c r="B106" s="81" t="s">
        <v>50</v>
      </c>
      <c r="C106" s="40">
        <f>12131.711-C107-C105</f>
        <v>586.7369999999992</v>
      </c>
      <c r="D106" s="40">
        <f>7497.412-D105-D107</f>
        <v>246.27700000000004</v>
      </c>
      <c r="E106" s="41">
        <f t="shared" si="6"/>
        <v>41.974001980444456</v>
      </c>
    </row>
    <row r="107" spans="1:5" ht="48" customHeight="1">
      <c r="A107" s="30"/>
      <c r="B107" s="97" t="s">
        <v>206</v>
      </c>
      <c r="C107" s="40">
        <v>6081.782</v>
      </c>
      <c r="D107" s="40">
        <v>5664.582</v>
      </c>
      <c r="E107" s="41">
        <f t="shared" si="6"/>
        <v>93.14016845720548</v>
      </c>
    </row>
    <row r="108" spans="1:5" ht="46.5" customHeight="1">
      <c r="A108" s="16" t="s">
        <v>169</v>
      </c>
      <c r="B108" s="82" t="s">
        <v>90</v>
      </c>
      <c r="C108" s="53">
        <f>C110+C109</f>
        <v>112.2</v>
      </c>
      <c r="D108" s="53">
        <f>D110+D109</f>
        <v>94</v>
      </c>
      <c r="E108" s="41">
        <f t="shared" si="6"/>
        <v>83.77896613190731</v>
      </c>
    </row>
    <row r="109" spans="1:5" ht="20.25">
      <c r="A109" s="12"/>
      <c r="B109" s="81" t="s">
        <v>50</v>
      </c>
      <c r="C109" s="40">
        <f>112.2-C110</f>
        <v>18.200000000000003</v>
      </c>
      <c r="D109" s="40">
        <v>0</v>
      </c>
      <c r="E109" s="41">
        <f t="shared" si="6"/>
        <v>0</v>
      </c>
    </row>
    <row r="110" spans="1:5" ht="18" customHeight="1">
      <c r="A110" s="13"/>
      <c r="B110" s="80" t="s">
        <v>115</v>
      </c>
      <c r="C110" s="40">
        <v>94</v>
      </c>
      <c r="D110" s="40">
        <v>94</v>
      </c>
      <c r="E110" s="41">
        <f t="shared" si="6"/>
        <v>100</v>
      </c>
    </row>
    <row r="111" spans="1:5" ht="20.25">
      <c r="A111" s="15" t="s">
        <v>142</v>
      </c>
      <c r="B111" s="87" t="s">
        <v>42</v>
      </c>
      <c r="C111" s="47">
        <f>SUM(C119+C127+C112+C116+C122+C125)</f>
        <v>95158.179</v>
      </c>
      <c r="D111" s="47">
        <f>SUM(D119+D127+D112+D116+D122+D125)</f>
        <v>11311.488</v>
      </c>
      <c r="E111" s="48">
        <f t="shared" si="6"/>
        <v>11.88703705647835</v>
      </c>
    </row>
    <row r="112" spans="1:5" ht="20.25">
      <c r="A112" s="16" t="s">
        <v>144</v>
      </c>
      <c r="B112" s="78" t="s">
        <v>0</v>
      </c>
      <c r="C112" s="53">
        <f>SUM(C113:C115)</f>
        <v>5262.1</v>
      </c>
      <c r="D112" s="53">
        <f>SUM(D113:D115)</f>
        <v>1457.599</v>
      </c>
      <c r="E112" s="55">
        <f t="shared" si="6"/>
        <v>27.699948689686625</v>
      </c>
    </row>
    <row r="113" spans="1:5" ht="17.25" customHeight="1">
      <c r="A113" s="30"/>
      <c r="B113" s="81" t="s">
        <v>39</v>
      </c>
      <c r="C113" s="40">
        <f>3656.605+1104.295</f>
        <v>4760.9</v>
      </c>
      <c r="D113" s="40">
        <f>990.863+250.524</f>
        <v>1241.3870000000002</v>
      </c>
      <c r="E113" s="41">
        <f t="shared" si="6"/>
        <v>26.074628746665553</v>
      </c>
    </row>
    <row r="114" spans="1:5" ht="20.25" hidden="1">
      <c r="A114" s="30"/>
      <c r="B114" s="81" t="s">
        <v>126</v>
      </c>
      <c r="C114" s="40"/>
      <c r="D114" s="40">
        <v>0</v>
      </c>
      <c r="E114" s="41"/>
    </row>
    <row r="115" spans="1:5" ht="17.25" customHeight="1">
      <c r="A115" s="30"/>
      <c r="B115" s="81" t="s">
        <v>50</v>
      </c>
      <c r="C115" s="40">
        <f>5262.1-C113-C114</f>
        <v>501.2000000000007</v>
      </c>
      <c r="D115" s="40">
        <f>1457.599-D113-D114</f>
        <v>216.21199999999976</v>
      </c>
      <c r="E115" s="41">
        <f t="shared" si="6"/>
        <v>43.1388667198722</v>
      </c>
    </row>
    <row r="116" spans="1:5" ht="18" customHeight="1">
      <c r="A116" s="16" t="s">
        <v>145</v>
      </c>
      <c r="B116" s="82" t="s">
        <v>55</v>
      </c>
      <c r="C116" s="53">
        <f>C118+C117</f>
        <v>67</v>
      </c>
      <c r="D116" s="53">
        <f>D118+D117</f>
        <v>0</v>
      </c>
      <c r="E116" s="55">
        <f t="shared" si="6"/>
        <v>0</v>
      </c>
    </row>
    <row r="117" spans="1:5" ht="40.5" hidden="1">
      <c r="A117" s="30"/>
      <c r="B117" s="81" t="s">
        <v>101</v>
      </c>
      <c r="C117" s="40"/>
      <c r="D117" s="40"/>
      <c r="E117" s="55"/>
    </row>
    <row r="118" spans="1:5" ht="20.25">
      <c r="A118" s="30"/>
      <c r="B118" s="81" t="s">
        <v>50</v>
      </c>
      <c r="C118" s="40">
        <v>67</v>
      </c>
      <c r="D118" s="40">
        <v>0</v>
      </c>
      <c r="E118" s="41">
        <f t="shared" si="6"/>
        <v>0</v>
      </c>
    </row>
    <row r="119" spans="1:5" ht="16.5" customHeight="1">
      <c r="A119" s="16" t="s">
        <v>146</v>
      </c>
      <c r="B119" s="78" t="s">
        <v>44</v>
      </c>
      <c r="C119" s="53">
        <f>C120+C121</f>
        <v>33359.57</v>
      </c>
      <c r="D119" s="53">
        <f>D120+D121</f>
        <v>8077.88</v>
      </c>
      <c r="E119" s="55">
        <f t="shared" si="6"/>
        <v>24.214580703528256</v>
      </c>
    </row>
    <row r="120" spans="1:5" ht="20.25">
      <c r="A120" s="16"/>
      <c r="B120" s="81" t="s">
        <v>50</v>
      </c>
      <c r="C120" s="40">
        <v>0.539</v>
      </c>
      <c r="D120" s="40">
        <v>0</v>
      </c>
      <c r="E120" s="41">
        <f t="shared" si="6"/>
        <v>0</v>
      </c>
    </row>
    <row r="121" spans="1:5" ht="121.5" customHeight="1">
      <c r="A121" s="30"/>
      <c r="B121" s="80" t="s">
        <v>181</v>
      </c>
      <c r="C121" s="40">
        <v>33359.031</v>
      </c>
      <c r="D121" s="40">
        <v>8077.88</v>
      </c>
      <c r="E121" s="41">
        <f t="shared" si="6"/>
        <v>24.214971951673295</v>
      </c>
    </row>
    <row r="122" spans="1:5" ht="18" customHeight="1">
      <c r="A122" s="16" t="s">
        <v>147</v>
      </c>
      <c r="B122" s="78" t="s">
        <v>112</v>
      </c>
      <c r="C122" s="53">
        <f>C123+C124</f>
        <v>15536.859</v>
      </c>
      <c r="D122" s="53">
        <f>D123+D124</f>
        <v>1738.16</v>
      </c>
      <c r="E122" s="41">
        <f t="shared" si="6"/>
        <v>11.1873320083551</v>
      </c>
    </row>
    <row r="123" spans="1:5" ht="20.25">
      <c r="A123" s="30"/>
      <c r="B123" s="81" t="s">
        <v>50</v>
      </c>
      <c r="C123" s="40">
        <v>2720.6</v>
      </c>
      <c r="D123" s="40">
        <v>0</v>
      </c>
      <c r="E123" s="41">
        <f t="shared" si="6"/>
        <v>0</v>
      </c>
    </row>
    <row r="124" spans="1:5" ht="40.5">
      <c r="A124" s="30"/>
      <c r="B124" s="81" t="s">
        <v>207</v>
      </c>
      <c r="C124" s="40">
        <v>12816.259</v>
      </c>
      <c r="D124" s="40">
        <v>1738.16</v>
      </c>
      <c r="E124" s="41">
        <f t="shared" si="6"/>
        <v>13.562147893546783</v>
      </c>
    </row>
    <row r="125" spans="1:5" ht="20.25">
      <c r="A125" s="16" t="s">
        <v>163</v>
      </c>
      <c r="B125" s="78" t="s">
        <v>162</v>
      </c>
      <c r="C125" s="53">
        <f>C126</f>
        <v>9045.95</v>
      </c>
      <c r="D125" s="53">
        <f>D126</f>
        <v>0</v>
      </c>
      <c r="E125" s="41">
        <f t="shared" si="6"/>
        <v>0</v>
      </c>
    </row>
    <row r="126" spans="1:5" ht="36">
      <c r="A126" s="30"/>
      <c r="B126" s="81" t="s">
        <v>208</v>
      </c>
      <c r="C126" s="40">
        <v>9045.95</v>
      </c>
      <c r="D126" s="40">
        <v>0</v>
      </c>
      <c r="E126" s="41">
        <f t="shared" si="6"/>
        <v>0</v>
      </c>
    </row>
    <row r="127" spans="1:5" ht="40.5">
      <c r="A127" s="16" t="s">
        <v>148</v>
      </c>
      <c r="B127" s="78" t="s">
        <v>31</v>
      </c>
      <c r="C127" s="53">
        <f>SUM(C128:C133)</f>
        <v>31886.7</v>
      </c>
      <c r="D127" s="53">
        <f>SUM(D128:D133)</f>
        <v>37.849</v>
      </c>
      <c r="E127" s="55">
        <f t="shared" si="6"/>
        <v>0.1186983914923777</v>
      </c>
    </row>
    <row r="128" spans="1:5" ht="81">
      <c r="A128" s="16"/>
      <c r="B128" s="97" t="s">
        <v>175</v>
      </c>
      <c r="C128" s="40">
        <v>1666.7</v>
      </c>
      <c r="D128" s="40">
        <v>0</v>
      </c>
      <c r="E128" s="41">
        <f t="shared" si="6"/>
        <v>0</v>
      </c>
    </row>
    <row r="129" spans="1:5" ht="60.75" hidden="1">
      <c r="A129" s="12"/>
      <c r="B129" s="97" t="s">
        <v>186</v>
      </c>
      <c r="C129" s="40"/>
      <c r="D129" s="40">
        <v>0</v>
      </c>
      <c r="E129" s="41" t="e">
        <f t="shared" si="6"/>
        <v>#DIV/0!</v>
      </c>
    </row>
    <row r="130" spans="1:5" ht="73.5" customHeight="1" hidden="1">
      <c r="A130" s="12"/>
      <c r="B130" s="97" t="s">
        <v>183</v>
      </c>
      <c r="C130" s="40">
        <v>0</v>
      </c>
      <c r="D130" s="40">
        <v>0</v>
      </c>
      <c r="E130" s="41" t="e">
        <f t="shared" si="6"/>
        <v>#DIV/0!</v>
      </c>
    </row>
    <row r="131" spans="1:5" ht="46.5" customHeight="1">
      <c r="A131" s="12"/>
      <c r="B131" s="97" t="s">
        <v>224</v>
      </c>
      <c r="C131" s="40">
        <v>30000</v>
      </c>
      <c r="D131" s="40">
        <v>0</v>
      </c>
      <c r="E131" s="41">
        <f t="shared" si="6"/>
        <v>0</v>
      </c>
    </row>
    <row r="132" spans="1:5" ht="40.5">
      <c r="A132" s="12"/>
      <c r="B132" s="97" t="s">
        <v>177</v>
      </c>
      <c r="C132" s="40">
        <v>200</v>
      </c>
      <c r="D132" s="40">
        <v>37.849</v>
      </c>
      <c r="E132" s="41">
        <f t="shared" si="6"/>
        <v>18.9245</v>
      </c>
    </row>
    <row r="133" spans="1:5" ht="40.5">
      <c r="A133" s="13"/>
      <c r="B133" s="98" t="s">
        <v>176</v>
      </c>
      <c r="C133" s="40">
        <v>20</v>
      </c>
      <c r="D133" s="40">
        <v>0</v>
      </c>
      <c r="E133" s="41">
        <f t="shared" si="6"/>
        <v>0</v>
      </c>
    </row>
    <row r="134" spans="1:5" ht="20.25">
      <c r="A134" s="15" t="s">
        <v>141</v>
      </c>
      <c r="B134" s="87" t="s">
        <v>24</v>
      </c>
      <c r="C134" s="47">
        <f>SUM(C135:C141)</f>
        <v>40438.467</v>
      </c>
      <c r="D134" s="47">
        <f>SUM(D135:D141)</f>
        <v>11182.464</v>
      </c>
      <c r="E134" s="49">
        <f t="shared" si="6"/>
        <v>27.653036402195962</v>
      </c>
    </row>
    <row r="135" spans="1:5" ht="35.25" customHeight="1">
      <c r="A135" s="13"/>
      <c r="B135" s="98" t="s">
        <v>178</v>
      </c>
      <c r="C135" s="40">
        <v>37569.2</v>
      </c>
      <c r="D135" s="40">
        <v>11120.39</v>
      </c>
      <c r="E135" s="41">
        <f t="shared" si="6"/>
        <v>29.599751924448753</v>
      </c>
    </row>
    <row r="136" spans="1:5" ht="22.5" customHeight="1">
      <c r="A136" s="13"/>
      <c r="B136" s="97" t="s">
        <v>200</v>
      </c>
      <c r="C136" s="40">
        <v>200</v>
      </c>
      <c r="D136" s="40">
        <v>0</v>
      </c>
      <c r="E136" s="41">
        <f t="shared" si="6"/>
        <v>0</v>
      </c>
    </row>
    <row r="137" spans="1:5" ht="23.25" customHeight="1">
      <c r="A137" s="13"/>
      <c r="B137" s="97" t="s">
        <v>199</v>
      </c>
      <c r="C137" s="40">
        <v>1062.246</v>
      </c>
      <c r="D137" s="40">
        <v>0</v>
      </c>
      <c r="E137" s="41">
        <f t="shared" si="6"/>
        <v>0</v>
      </c>
    </row>
    <row r="138" spans="1:5" ht="19.5" customHeight="1">
      <c r="A138" s="13"/>
      <c r="B138" s="97" t="s">
        <v>188</v>
      </c>
      <c r="C138" s="40">
        <v>62.074</v>
      </c>
      <c r="D138" s="40">
        <v>62.074</v>
      </c>
      <c r="E138" s="41">
        <f t="shared" si="6"/>
        <v>100</v>
      </c>
    </row>
    <row r="139" spans="1:5" ht="40.5" hidden="1">
      <c r="A139" s="13"/>
      <c r="B139" s="97" t="s">
        <v>187</v>
      </c>
      <c r="C139" s="40">
        <v>0</v>
      </c>
      <c r="D139" s="40">
        <v>0</v>
      </c>
      <c r="E139" s="41" t="e">
        <f t="shared" si="6"/>
        <v>#DIV/0!</v>
      </c>
    </row>
    <row r="140" spans="1:5" ht="81.75" customHeight="1">
      <c r="A140" s="13"/>
      <c r="B140" s="98" t="s">
        <v>198</v>
      </c>
      <c r="C140" s="40">
        <v>1544.947</v>
      </c>
      <c r="D140" s="40">
        <v>0</v>
      </c>
      <c r="E140" s="41">
        <f t="shared" si="6"/>
        <v>0</v>
      </c>
    </row>
    <row r="141" spans="1:5" ht="26.25" customHeight="1" hidden="1">
      <c r="A141" s="13"/>
      <c r="B141" s="81" t="s">
        <v>179</v>
      </c>
      <c r="C141" s="40"/>
      <c r="D141" s="40"/>
      <c r="E141" s="41" t="e">
        <f t="shared" si="6"/>
        <v>#DIV/0!</v>
      </c>
    </row>
    <row r="142" spans="1:5" ht="20.25">
      <c r="A142" s="15" t="s">
        <v>143</v>
      </c>
      <c r="B142" s="87" t="s">
        <v>130</v>
      </c>
      <c r="C142" s="56">
        <f>C146+C143</f>
        <v>1371.338</v>
      </c>
      <c r="D142" s="56">
        <f>D146+D143</f>
        <v>321.75</v>
      </c>
      <c r="E142" s="57">
        <f t="shared" si="6"/>
        <v>23.462487001745743</v>
      </c>
    </row>
    <row r="143" spans="1:5" s="3" customFormat="1" ht="40.5">
      <c r="A143" s="19" t="s">
        <v>164</v>
      </c>
      <c r="B143" s="99" t="s">
        <v>161</v>
      </c>
      <c r="C143" s="58">
        <f>C144+C145</f>
        <v>1071.5</v>
      </c>
      <c r="D143" s="58">
        <f>D144+D145</f>
        <v>321.75</v>
      </c>
      <c r="E143" s="41">
        <f t="shared" si="6"/>
        <v>30.027998133457768</v>
      </c>
    </row>
    <row r="144" spans="1:5" s="3" customFormat="1" ht="20.25">
      <c r="A144" s="19"/>
      <c r="B144" s="81" t="s">
        <v>39</v>
      </c>
      <c r="C144" s="59">
        <v>95.217</v>
      </c>
      <c r="D144" s="59">
        <v>18.203</v>
      </c>
      <c r="E144" s="41">
        <f t="shared" si="6"/>
        <v>19.117384500666898</v>
      </c>
    </row>
    <row r="145" spans="1:5" s="3" customFormat="1" ht="36">
      <c r="A145" s="19"/>
      <c r="B145" s="81" t="s">
        <v>209</v>
      </c>
      <c r="C145" s="59">
        <v>976.283</v>
      </c>
      <c r="D145" s="59">
        <v>303.547</v>
      </c>
      <c r="E145" s="41">
        <f t="shared" si="6"/>
        <v>31.092111611079986</v>
      </c>
    </row>
    <row r="146" spans="1:5" ht="40.5">
      <c r="A146" s="16" t="s">
        <v>165</v>
      </c>
      <c r="B146" s="82" t="s">
        <v>131</v>
      </c>
      <c r="C146" s="42">
        <v>299.838</v>
      </c>
      <c r="D146" s="58">
        <v>0</v>
      </c>
      <c r="E146" s="41">
        <f t="shared" si="6"/>
        <v>0</v>
      </c>
    </row>
    <row r="147" spans="1:5" ht="20.25">
      <c r="A147" s="15" t="s">
        <v>149</v>
      </c>
      <c r="B147" s="87" t="s">
        <v>1</v>
      </c>
      <c r="C147" s="47">
        <f>C148+C149+C151+C150</f>
        <v>1216041.717</v>
      </c>
      <c r="D147" s="47">
        <f>D148+D149+D151+D150</f>
        <v>383284.981</v>
      </c>
      <c r="E147" s="49">
        <f t="shared" si="6"/>
        <v>31.519065147334913</v>
      </c>
    </row>
    <row r="148" spans="1:5" ht="20.25">
      <c r="A148" s="13"/>
      <c r="B148" s="80" t="s">
        <v>26</v>
      </c>
      <c r="C148" s="40">
        <v>70198.761</v>
      </c>
      <c r="D148" s="40">
        <v>18796.858</v>
      </c>
      <c r="E148" s="41">
        <f t="shared" si="6"/>
        <v>26.77662359311441</v>
      </c>
    </row>
    <row r="149" spans="1:5" ht="20.25">
      <c r="A149" s="13"/>
      <c r="B149" s="80" t="s">
        <v>210</v>
      </c>
      <c r="C149" s="40">
        <f>1216041.717-C148-C150-C151</f>
        <v>27803.030999999995</v>
      </c>
      <c r="D149" s="40">
        <f>383284.981-D148-D150-D151</f>
        <v>9770.22600000001</v>
      </c>
      <c r="E149" s="41">
        <f t="shared" si="6"/>
        <v>35.14086647603282</v>
      </c>
    </row>
    <row r="150" spans="1:5" ht="20.25">
      <c r="A150" s="13"/>
      <c r="B150" s="80" t="s">
        <v>202</v>
      </c>
      <c r="C150" s="40">
        <v>1067160.787</v>
      </c>
      <c r="D150" s="40">
        <v>346574.689</v>
      </c>
      <c r="E150" s="41">
        <f t="shared" si="6"/>
        <v>32.47633282837256</v>
      </c>
    </row>
    <row r="151" spans="1:5" ht="20.25">
      <c r="A151" s="13"/>
      <c r="B151" s="80" t="s">
        <v>125</v>
      </c>
      <c r="C151" s="40">
        <v>50879.138</v>
      </c>
      <c r="D151" s="40">
        <v>8143.208</v>
      </c>
      <c r="E151" s="41">
        <f t="shared" si="6"/>
        <v>16.005003858359395</v>
      </c>
    </row>
    <row r="152" spans="1:5" ht="27.75" customHeight="1">
      <c r="A152" s="15" t="s">
        <v>154</v>
      </c>
      <c r="B152" s="96" t="s">
        <v>102</v>
      </c>
      <c r="C152" s="47">
        <f>C153+C154+C156+C157+C155</f>
        <v>206496.434</v>
      </c>
      <c r="D152" s="47">
        <f>D153+D154+D156+D157+D155</f>
        <v>70709.433</v>
      </c>
      <c r="E152" s="49">
        <f t="shared" si="6"/>
        <v>34.24244749911759</v>
      </c>
    </row>
    <row r="153" spans="1:5" ht="20.25">
      <c r="A153" s="13"/>
      <c r="B153" s="80" t="s">
        <v>27</v>
      </c>
      <c r="C153" s="40">
        <v>54299.848</v>
      </c>
      <c r="D153" s="40">
        <v>14172.532</v>
      </c>
      <c r="E153" s="41">
        <f t="shared" si="6"/>
        <v>26.10050031815927</v>
      </c>
    </row>
    <row r="154" spans="1:5" ht="20.25" customHeight="1">
      <c r="A154" s="13"/>
      <c r="B154" s="80" t="s">
        <v>210</v>
      </c>
      <c r="C154" s="40">
        <f>206496.434-C153-C156-C157</f>
        <v>5346.153000000017</v>
      </c>
      <c r="D154" s="40">
        <f>70709.433-D153-D156-D157</f>
        <v>1205.0960000000055</v>
      </c>
      <c r="E154" s="41">
        <f t="shared" si="6"/>
        <v>22.541367596475478</v>
      </c>
    </row>
    <row r="155" spans="1:5" ht="17.25" customHeight="1" hidden="1">
      <c r="A155" s="13"/>
      <c r="B155" s="81" t="s">
        <v>101</v>
      </c>
      <c r="C155" s="40">
        <v>0</v>
      </c>
      <c r="D155" s="40">
        <v>0</v>
      </c>
      <c r="E155" s="41"/>
    </row>
    <row r="156" spans="1:5" ht="20.25">
      <c r="A156" s="13"/>
      <c r="B156" s="80" t="s">
        <v>202</v>
      </c>
      <c r="C156" s="40">
        <v>143143.305</v>
      </c>
      <c r="D156" s="40">
        <v>55109.892</v>
      </c>
      <c r="E156" s="41">
        <f t="shared" si="6"/>
        <v>38.499804094924315</v>
      </c>
    </row>
    <row r="157" spans="1:5" ht="20.25">
      <c r="A157" s="16"/>
      <c r="B157" s="80" t="s">
        <v>125</v>
      </c>
      <c r="C157" s="40">
        <v>3707.128</v>
      </c>
      <c r="D157" s="40">
        <v>221.913</v>
      </c>
      <c r="E157" s="41">
        <f t="shared" si="6"/>
        <v>5.98611647615081</v>
      </c>
    </row>
    <row r="158" spans="1:5" ht="20.25">
      <c r="A158" s="15" t="s">
        <v>167</v>
      </c>
      <c r="B158" s="87" t="s">
        <v>103</v>
      </c>
      <c r="C158" s="47">
        <f>SUM(C159+C160+C161+C162)</f>
        <v>241.029</v>
      </c>
      <c r="D158" s="47">
        <f>SUM(D159+D160+D161+D162)</f>
        <v>40</v>
      </c>
      <c r="E158" s="60">
        <f>D158/C158*100</f>
        <v>16.59551340295151</v>
      </c>
    </row>
    <row r="159" spans="1:5" ht="20.25" hidden="1">
      <c r="A159" s="16">
        <v>901</v>
      </c>
      <c r="B159" s="78" t="s">
        <v>53</v>
      </c>
      <c r="C159" s="42"/>
      <c r="D159" s="42"/>
      <c r="E159" s="43" t="e">
        <f t="shared" si="6"/>
        <v>#DIV/0!</v>
      </c>
    </row>
    <row r="160" spans="1:5" ht="20.25" hidden="1">
      <c r="A160" s="16">
        <v>902</v>
      </c>
      <c r="B160" s="78" t="s">
        <v>91</v>
      </c>
      <c r="C160" s="42"/>
      <c r="D160" s="42"/>
      <c r="E160" s="43" t="e">
        <f t="shared" si="6"/>
        <v>#DIV/0!</v>
      </c>
    </row>
    <row r="161" spans="1:5" ht="20.25" hidden="1">
      <c r="A161" s="16">
        <v>904</v>
      </c>
      <c r="B161" s="78" t="s">
        <v>92</v>
      </c>
      <c r="C161" s="42"/>
      <c r="D161" s="42"/>
      <c r="E161" s="43" t="e">
        <f t="shared" si="6"/>
        <v>#DIV/0!</v>
      </c>
    </row>
    <row r="162" spans="1:5" ht="16.5" customHeight="1">
      <c r="A162" s="16" t="s">
        <v>155</v>
      </c>
      <c r="B162" s="78" t="s">
        <v>104</v>
      </c>
      <c r="C162" s="42">
        <f>C164+C163</f>
        <v>241.029</v>
      </c>
      <c r="D162" s="42">
        <f>D164+D163</f>
        <v>40</v>
      </c>
      <c r="E162" s="43">
        <f t="shared" si="6"/>
        <v>16.59551340295151</v>
      </c>
    </row>
    <row r="163" spans="1:5" ht="20.25">
      <c r="A163" s="16"/>
      <c r="B163" s="80" t="s">
        <v>180</v>
      </c>
      <c r="C163" s="40">
        <v>103.101</v>
      </c>
      <c r="D163" s="40">
        <v>0</v>
      </c>
      <c r="E163" s="43">
        <f t="shared" si="6"/>
        <v>0</v>
      </c>
    </row>
    <row r="164" spans="1:5" ht="40.5">
      <c r="A164" s="16"/>
      <c r="B164" s="80" t="s">
        <v>121</v>
      </c>
      <c r="C164" s="40">
        <v>137.928</v>
      </c>
      <c r="D164" s="40">
        <v>40</v>
      </c>
      <c r="E164" s="43">
        <f t="shared" si="6"/>
        <v>29.000638014036312</v>
      </c>
    </row>
    <row r="165" spans="1:5" ht="20.25">
      <c r="A165" s="15">
        <v>10</v>
      </c>
      <c r="B165" s="87" t="s">
        <v>2</v>
      </c>
      <c r="C165" s="47">
        <f>SUM(C167+C168+C172+C166+C171)</f>
        <v>115560.7</v>
      </c>
      <c r="D165" s="47">
        <f>SUM(D167+D168+D172+D166+D171)</f>
        <v>21537.618000000002</v>
      </c>
      <c r="E165" s="49">
        <f t="shared" si="6"/>
        <v>18.6374935423548</v>
      </c>
    </row>
    <row r="166" spans="1:5" ht="20.25">
      <c r="A166" s="12">
        <v>1001</v>
      </c>
      <c r="B166" s="78" t="s">
        <v>46</v>
      </c>
      <c r="C166" s="42">
        <v>7365.393</v>
      </c>
      <c r="D166" s="42">
        <v>2019.3</v>
      </c>
      <c r="E166" s="41">
        <f t="shared" si="6"/>
        <v>27.416052340995243</v>
      </c>
    </row>
    <row r="167" spans="1:5" ht="20.25" hidden="1">
      <c r="A167" s="12">
        <v>1002</v>
      </c>
      <c r="B167" s="78" t="s">
        <v>32</v>
      </c>
      <c r="C167" s="42"/>
      <c r="D167" s="42"/>
      <c r="E167" s="41" t="e">
        <f t="shared" si="6"/>
        <v>#DIV/0!</v>
      </c>
    </row>
    <row r="168" spans="1:5" ht="20.25">
      <c r="A168" s="12">
        <v>1003</v>
      </c>
      <c r="B168" s="78" t="s">
        <v>33</v>
      </c>
      <c r="C168" s="42">
        <v>106353.307</v>
      </c>
      <c r="D168" s="42">
        <v>18966.736</v>
      </c>
      <c r="E168" s="41">
        <f t="shared" si="6"/>
        <v>17.833705913817987</v>
      </c>
    </row>
    <row r="169" spans="1:5" ht="20.25" hidden="1">
      <c r="A169" s="13"/>
      <c r="B169" s="80" t="s">
        <v>105</v>
      </c>
      <c r="C169" s="40">
        <v>222581.9</v>
      </c>
      <c r="D169" s="40">
        <f>91626-D170</f>
        <v>87762.2</v>
      </c>
      <c r="E169" s="41">
        <f t="shared" si="6"/>
        <v>39.429171913798925</v>
      </c>
    </row>
    <row r="170" spans="1:5" ht="40.5" hidden="1">
      <c r="A170" s="13"/>
      <c r="B170" s="81" t="s">
        <v>101</v>
      </c>
      <c r="C170" s="40">
        <v>8654.8</v>
      </c>
      <c r="D170" s="40">
        <v>3863.8</v>
      </c>
      <c r="E170" s="41">
        <f t="shared" si="6"/>
        <v>44.643434856957995</v>
      </c>
    </row>
    <row r="171" spans="1:5" ht="20.25">
      <c r="A171" s="12">
        <v>1004</v>
      </c>
      <c r="B171" s="82" t="s">
        <v>113</v>
      </c>
      <c r="C171" s="42">
        <v>816.4</v>
      </c>
      <c r="D171" s="42">
        <v>295.165</v>
      </c>
      <c r="E171" s="41">
        <f t="shared" si="6"/>
        <v>36.154458598726116</v>
      </c>
    </row>
    <row r="172" spans="1:5" ht="40.5">
      <c r="A172" s="12">
        <v>1006</v>
      </c>
      <c r="B172" s="82" t="s">
        <v>41</v>
      </c>
      <c r="C172" s="42">
        <v>1025.6</v>
      </c>
      <c r="D172" s="42">
        <v>256.417</v>
      </c>
      <c r="E172" s="41">
        <f t="shared" si="6"/>
        <v>25.001657566302654</v>
      </c>
    </row>
    <row r="173" spans="1:5" ht="20.25">
      <c r="A173" s="15">
        <v>11</v>
      </c>
      <c r="B173" s="96" t="s">
        <v>28</v>
      </c>
      <c r="C173" s="47">
        <f>C174+C178</f>
        <v>53898.085999999996</v>
      </c>
      <c r="D173" s="47">
        <f>D174+D178</f>
        <v>15140.433</v>
      </c>
      <c r="E173" s="48">
        <f t="shared" si="6"/>
        <v>28.090854654838765</v>
      </c>
    </row>
    <row r="174" spans="1:5" s="4" customFormat="1" ht="20.25">
      <c r="A174" s="20">
        <v>1102</v>
      </c>
      <c r="B174" s="100" t="s">
        <v>107</v>
      </c>
      <c r="C174" s="61">
        <f>C176+C175+C177</f>
        <v>42582.494999999995</v>
      </c>
      <c r="D174" s="61">
        <f>D176+D175</f>
        <v>11644.307</v>
      </c>
      <c r="E174" s="41">
        <f>D174/C174*100</f>
        <v>27.34529059417491</v>
      </c>
    </row>
    <row r="175" spans="1:5" s="4" customFormat="1" ht="20.25">
      <c r="A175" s="20"/>
      <c r="B175" s="80" t="s">
        <v>211</v>
      </c>
      <c r="C175" s="62">
        <v>37886.704</v>
      </c>
      <c r="D175" s="62">
        <v>11644.307</v>
      </c>
      <c r="E175" s="41">
        <f>D175/C175*100</f>
        <v>30.73454740217043</v>
      </c>
    </row>
    <row r="176" spans="1:5" s="4" customFormat="1" ht="20.25">
      <c r="A176" s="20"/>
      <c r="B176" s="80" t="s">
        <v>212</v>
      </c>
      <c r="C176" s="62">
        <v>696.191</v>
      </c>
      <c r="D176" s="62">
        <v>0</v>
      </c>
      <c r="E176" s="41">
        <f>D176/C176*100</f>
        <v>0</v>
      </c>
    </row>
    <row r="177" spans="1:5" s="4" customFormat="1" ht="40.5">
      <c r="A177" s="20"/>
      <c r="B177" s="81" t="s">
        <v>215</v>
      </c>
      <c r="C177" s="62">
        <v>3999.6</v>
      </c>
      <c r="D177" s="62">
        <v>0</v>
      </c>
      <c r="E177" s="41">
        <f>D177/C177*100</f>
        <v>0</v>
      </c>
    </row>
    <row r="178" spans="1:5" ht="20.25">
      <c r="A178" s="20">
        <v>1103</v>
      </c>
      <c r="B178" s="100" t="s">
        <v>184</v>
      </c>
      <c r="C178" s="61">
        <f>C179+C180</f>
        <v>11315.591</v>
      </c>
      <c r="D178" s="61">
        <f>D179+D180</f>
        <v>3496.1259999999997</v>
      </c>
      <c r="E178" s="41">
        <v>99.99998786293466</v>
      </c>
    </row>
    <row r="179" spans="1:5" ht="24.75" customHeight="1">
      <c r="A179" s="21"/>
      <c r="B179" s="101" t="s">
        <v>213</v>
      </c>
      <c r="C179" s="63">
        <v>11308.591</v>
      </c>
      <c r="D179" s="63">
        <v>3493.408</v>
      </c>
      <c r="E179" s="41">
        <v>99.99998747694661</v>
      </c>
    </row>
    <row r="180" spans="1:5" ht="20.25">
      <c r="A180" s="21"/>
      <c r="B180" s="80" t="s">
        <v>214</v>
      </c>
      <c r="C180" s="63">
        <v>7</v>
      </c>
      <c r="D180" s="63">
        <v>2.718</v>
      </c>
      <c r="E180" s="41">
        <v>100</v>
      </c>
    </row>
    <row r="181" spans="1:5" ht="20.25">
      <c r="A181" s="15">
        <v>13</v>
      </c>
      <c r="B181" s="96" t="s">
        <v>108</v>
      </c>
      <c r="C181" s="47">
        <f>C182</f>
        <v>3.288</v>
      </c>
      <c r="D181" s="47">
        <f>D182</f>
        <v>2.706</v>
      </c>
      <c r="E181" s="48">
        <f t="shared" si="6"/>
        <v>82.2992700729927</v>
      </c>
    </row>
    <row r="182" spans="1:5" ht="40.5">
      <c r="A182" s="20">
        <v>1301</v>
      </c>
      <c r="B182" s="100" t="s">
        <v>109</v>
      </c>
      <c r="C182" s="62">
        <v>3.288</v>
      </c>
      <c r="D182" s="62">
        <v>2.706</v>
      </c>
      <c r="E182" s="41">
        <f t="shared" si="6"/>
        <v>82.2992700729927</v>
      </c>
    </row>
    <row r="183" spans="1:5" ht="20.25">
      <c r="A183" s="15">
        <v>14</v>
      </c>
      <c r="B183" s="96" t="s">
        <v>110</v>
      </c>
      <c r="C183" s="64">
        <v>102241.321</v>
      </c>
      <c r="D183" s="64">
        <v>35691.234</v>
      </c>
      <c r="E183" s="65">
        <f t="shared" si="6"/>
        <v>34.9088153898168</v>
      </c>
    </row>
    <row r="184" spans="1:6" ht="20.25">
      <c r="A184" s="31"/>
      <c r="B184" s="102" t="s">
        <v>25</v>
      </c>
      <c r="C184" s="66">
        <f>C74+C98+C111+C134+C147+C152+C158+C165+C173+C181+C183+C96+C142</f>
        <v>1984261.6989999998</v>
      </c>
      <c r="D184" s="66">
        <f>D74+D98+D111+D134+D147+D152+D158+D165+D173+D181+D183+D96+D142</f>
        <v>594778.92839</v>
      </c>
      <c r="E184" s="67">
        <f t="shared" si="6"/>
        <v>29.974822811413855</v>
      </c>
      <c r="F184" s="2"/>
    </row>
    <row r="185" spans="1:5" ht="20.25">
      <c r="A185" s="186" t="s">
        <v>132</v>
      </c>
      <c r="B185" s="186"/>
      <c r="C185" s="68">
        <f>C71-C184</f>
        <v>-5465.269999999786</v>
      </c>
      <c r="D185" s="68">
        <f>D71-D184</f>
        <v>42077.527379999985</v>
      </c>
      <c r="E185" s="69"/>
    </row>
    <row r="186" spans="1:5" ht="40.5">
      <c r="A186" s="32"/>
      <c r="B186" s="103" t="s">
        <v>97</v>
      </c>
      <c r="C186" s="70">
        <f>C187+C190</f>
        <v>5465.269999999786</v>
      </c>
      <c r="D186" s="70">
        <f>D187+D190</f>
        <v>-42077.527379999985</v>
      </c>
      <c r="E186" s="71"/>
    </row>
    <row r="187" spans="1:5" ht="20.25">
      <c r="A187" s="33"/>
      <c r="B187" s="104" t="s">
        <v>195</v>
      </c>
      <c r="C187" s="70">
        <f>C189+C188</f>
        <v>5465.269999999786</v>
      </c>
      <c r="D187" s="70">
        <f>D189+D188</f>
        <v>-27077.527379999985</v>
      </c>
      <c r="E187" s="72"/>
    </row>
    <row r="188" spans="1:5" ht="20.25">
      <c r="A188" s="33"/>
      <c r="B188" s="105" t="s">
        <v>94</v>
      </c>
      <c r="C188" s="73">
        <f>-(C71+C191+C194)</f>
        <v>-1996796.429</v>
      </c>
      <c r="D188" s="73">
        <f>-(D71+D191+D194)</f>
        <v>-636856.45577</v>
      </c>
      <c r="E188" s="72"/>
    </row>
    <row r="189" spans="1:5" ht="20.25">
      <c r="A189" s="34"/>
      <c r="B189" s="105" t="s">
        <v>95</v>
      </c>
      <c r="C189" s="73">
        <f>C184-C192-C195</f>
        <v>2002261.6989999998</v>
      </c>
      <c r="D189" s="73">
        <f>D184-D192-D195</f>
        <v>609778.92839</v>
      </c>
      <c r="E189" s="72"/>
    </row>
    <row r="190" spans="1:5" ht="20.25">
      <c r="A190" s="34"/>
      <c r="B190" s="104" t="s">
        <v>98</v>
      </c>
      <c r="C190" s="70">
        <f>C191+C192+C194+C195</f>
        <v>0</v>
      </c>
      <c r="D190" s="70">
        <f>D191+D192+D194+D195</f>
        <v>-15000</v>
      </c>
      <c r="E190" s="72"/>
    </row>
    <row r="191" spans="1:5" ht="60.75">
      <c r="A191" s="34"/>
      <c r="B191" s="105" t="s">
        <v>100</v>
      </c>
      <c r="C191" s="73">
        <v>15000</v>
      </c>
      <c r="D191" s="73">
        <v>0</v>
      </c>
      <c r="E191" s="74"/>
    </row>
    <row r="192" spans="1:5" ht="36.75" customHeight="1">
      <c r="A192" s="34"/>
      <c r="B192" s="105" t="s">
        <v>56</v>
      </c>
      <c r="C192" s="73">
        <v>-15000</v>
      </c>
      <c r="D192" s="73">
        <v>-15000</v>
      </c>
      <c r="E192" s="74"/>
    </row>
    <row r="193" spans="1:5" ht="60.75" hidden="1">
      <c r="A193" s="34"/>
      <c r="B193" s="106" t="s">
        <v>57</v>
      </c>
      <c r="C193" s="73"/>
      <c r="D193" s="73"/>
      <c r="E193" s="74"/>
    </row>
    <row r="194" spans="1:5" ht="40.5">
      <c r="A194" s="34"/>
      <c r="B194" s="106" t="s">
        <v>58</v>
      </c>
      <c r="C194" s="73">
        <v>3000</v>
      </c>
      <c r="D194" s="73">
        <v>0</v>
      </c>
      <c r="E194" s="74"/>
    </row>
    <row r="195" spans="1:5" ht="40.5">
      <c r="A195" s="34"/>
      <c r="B195" s="106" t="s">
        <v>96</v>
      </c>
      <c r="C195" s="73">
        <v>-3000</v>
      </c>
      <c r="D195" s="73">
        <v>0</v>
      </c>
      <c r="E195" s="74"/>
    </row>
  </sheetData>
  <sheetProtection/>
  <mergeCells count="11">
    <mergeCell ref="E66:E67"/>
    <mergeCell ref="A1:E1"/>
    <mergeCell ref="A2:E2"/>
    <mergeCell ref="A3:B3"/>
    <mergeCell ref="A4:E4"/>
    <mergeCell ref="A185:B185"/>
    <mergeCell ref="A66:A67"/>
    <mergeCell ref="B66:B67"/>
    <mergeCell ref="C66:C67"/>
    <mergeCell ref="A73:E73"/>
    <mergeCell ref="D66:D67"/>
  </mergeCells>
  <printOptions/>
  <pageMargins left="0.2362204724409449" right="0.2362204724409449" top="0" bottom="0.7480314960629921" header="0.31496062992125984" footer="0.31496062992125984"/>
  <pageSetup horizontalDpi="600" verticalDpi="600" orientation="portrait" paperSize="9" scale="56" r:id="rId1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selection activeCell="D170" sqref="D170"/>
    </sheetView>
  </sheetViews>
  <sheetFormatPr defaultColWidth="9.00390625" defaultRowHeight="12.75"/>
  <cols>
    <col min="1" max="1" width="15.75390625" style="27" customWidth="1"/>
    <col min="2" max="2" width="68.00390625" style="174" customWidth="1"/>
    <col min="3" max="3" width="23.75390625" style="177" customWidth="1"/>
    <col min="4" max="4" width="24.75390625" style="177" customWidth="1"/>
    <col min="5" max="5" width="18.875" style="176" customWidth="1"/>
    <col min="6" max="6" width="15.75390625" style="0" customWidth="1"/>
  </cols>
  <sheetData>
    <row r="1" spans="1:5" ht="53.25" customHeight="1">
      <c r="A1" s="194" t="s">
        <v>201</v>
      </c>
      <c r="B1" s="194"/>
      <c r="C1" s="194"/>
      <c r="D1" s="194"/>
      <c r="E1" s="194"/>
    </row>
    <row r="2" spans="1:5" ht="19.5" thickBot="1">
      <c r="A2" s="180" t="s">
        <v>3</v>
      </c>
      <c r="B2" s="180"/>
      <c r="C2" s="180"/>
      <c r="D2" s="180"/>
      <c r="E2" s="180"/>
    </row>
    <row r="3" spans="1:5" ht="87" customHeight="1" thickBot="1">
      <c r="A3" s="181" t="s">
        <v>166</v>
      </c>
      <c r="B3" s="182"/>
      <c r="C3" s="108" t="s">
        <v>203</v>
      </c>
      <c r="D3" s="108" t="str">
        <f>районный!D3</f>
        <v>кассовое исполнение  на 01.05.2024</v>
      </c>
      <c r="E3" s="37" t="s">
        <v>59</v>
      </c>
    </row>
    <row r="4" spans="1:5" ht="18.75">
      <c r="A4" s="183" t="s">
        <v>4</v>
      </c>
      <c r="B4" s="184"/>
      <c r="C4" s="184"/>
      <c r="D4" s="184"/>
      <c r="E4" s="185"/>
    </row>
    <row r="5" spans="1:5" ht="40.5">
      <c r="A5" s="6">
        <v>1000000</v>
      </c>
      <c r="B5" s="76" t="s">
        <v>60</v>
      </c>
      <c r="C5" s="109">
        <f>C7+C13+C23+C32+C40+C44+C48+C49+C50+C28+C41+C18+C11</f>
        <v>297717.2</v>
      </c>
      <c r="D5" s="109">
        <f>D7+D11+D13+D18+D23+D28+D32+D40+D41+D44+D48+D49</f>
        <v>68732.66099</v>
      </c>
      <c r="E5" s="60">
        <f>D5/C5*100</f>
        <v>23.086560329735736</v>
      </c>
    </row>
    <row r="6" spans="1:5" ht="20.25">
      <c r="A6" s="7"/>
      <c r="B6" s="77" t="s">
        <v>204</v>
      </c>
      <c r="C6" s="110"/>
      <c r="D6" s="110"/>
      <c r="E6" s="41"/>
    </row>
    <row r="7" spans="1:5" ht="20.25">
      <c r="A7" s="8">
        <v>1010000</v>
      </c>
      <c r="B7" s="111" t="s">
        <v>5</v>
      </c>
      <c r="C7" s="112">
        <f>SUM(C9:C10)</f>
        <v>171048.3</v>
      </c>
      <c r="D7" s="112">
        <f>SUM(D9:D10)</f>
        <v>37700.65259</v>
      </c>
      <c r="E7" s="43">
        <f>D7/C7*100</f>
        <v>22.040939658564277</v>
      </c>
    </row>
    <row r="8" spans="1:5" ht="20.25">
      <c r="A8" s="8"/>
      <c r="B8" s="113" t="s">
        <v>6</v>
      </c>
      <c r="C8" s="110"/>
      <c r="D8" s="110"/>
      <c r="E8" s="41"/>
    </row>
    <row r="9" spans="1:5" ht="20.25">
      <c r="A9" s="8">
        <v>1010100</v>
      </c>
      <c r="B9" s="114" t="s">
        <v>7</v>
      </c>
      <c r="C9" s="110">
        <f>районный!C9</f>
        <v>3810.4</v>
      </c>
      <c r="D9" s="110">
        <f>районный!D9</f>
        <v>1121.18659</v>
      </c>
      <c r="E9" s="41">
        <f aca="true" t="shared" si="0" ref="E9:E23">D9/C9*100</f>
        <v>29.4243803800126</v>
      </c>
    </row>
    <row r="10" spans="1:5" ht="20.25">
      <c r="A10" s="8">
        <v>1010200</v>
      </c>
      <c r="B10" s="114" t="s">
        <v>8</v>
      </c>
      <c r="C10" s="110">
        <v>167237.9</v>
      </c>
      <c r="D10" s="110">
        <v>36579.466</v>
      </c>
      <c r="E10" s="41">
        <f t="shared" si="0"/>
        <v>21.87271306324703</v>
      </c>
    </row>
    <row r="11" spans="1:5" ht="40.5">
      <c r="A11" s="7">
        <f>районный!A11</f>
        <v>1030000</v>
      </c>
      <c r="B11" s="115" t="str">
        <f>районный!B11</f>
        <v>Налоги на товары (работы,услуги), реализуюмые на территории РФ</v>
      </c>
      <c r="C11" s="112">
        <f>C12</f>
        <v>8412.8</v>
      </c>
      <c r="D11" s="112">
        <f>D12</f>
        <v>2139.43242</v>
      </c>
      <c r="E11" s="41">
        <f t="shared" si="0"/>
        <v>25.4306820559148</v>
      </c>
    </row>
    <row r="12" spans="1:5" ht="20.25">
      <c r="A12" s="8">
        <f>районный!A12</f>
        <v>1030200</v>
      </c>
      <c r="B12" s="116" t="str">
        <f>районный!B12</f>
        <v>Акцизы по подакцизным товарам</v>
      </c>
      <c r="C12" s="110">
        <v>8412.8</v>
      </c>
      <c r="D12" s="110">
        <v>2139.43242</v>
      </c>
      <c r="E12" s="41">
        <f t="shared" si="0"/>
        <v>25.4306820559148</v>
      </c>
    </row>
    <row r="13" spans="1:5" ht="20.25">
      <c r="A13" s="7">
        <v>1050000</v>
      </c>
      <c r="B13" s="111" t="s">
        <v>9</v>
      </c>
      <c r="C13" s="112">
        <f>SUM(C14:C17)</f>
        <v>71185.3</v>
      </c>
      <c r="D13" s="112">
        <f>SUM(D14:D17)</f>
        <v>8303.76265</v>
      </c>
      <c r="E13" s="43">
        <f t="shared" si="0"/>
        <v>11.664996354584444</v>
      </c>
    </row>
    <row r="14" spans="1:5" ht="40.5">
      <c r="A14" s="8">
        <v>1050100</v>
      </c>
      <c r="B14" s="80" t="s">
        <v>156</v>
      </c>
      <c r="C14" s="117">
        <f>районный!C14</f>
        <v>64702.7</v>
      </c>
      <c r="D14" s="117">
        <f>районный!D14</f>
        <v>3135.17665</v>
      </c>
      <c r="E14" s="41">
        <f t="shared" si="0"/>
        <v>4.845511315601977</v>
      </c>
    </row>
    <row r="15" spans="1:5" ht="40.5">
      <c r="A15" s="8">
        <v>1050200</v>
      </c>
      <c r="B15" s="90" t="s">
        <v>10</v>
      </c>
      <c r="C15" s="110">
        <f>районный!C15</f>
        <v>15.3</v>
      </c>
      <c r="D15" s="110">
        <f>районный!D15</f>
        <v>1.52</v>
      </c>
      <c r="E15" s="41">
        <f t="shared" si="0"/>
        <v>9.934640522875817</v>
      </c>
    </row>
    <row r="16" spans="1:5" ht="20.25">
      <c r="A16" s="8">
        <v>1050300</v>
      </c>
      <c r="B16" s="90" t="s">
        <v>29</v>
      </c>
      <c r="C16" s="110">
        <v>2467.3</v>
      </c>
      <c r="D16" s="110">
        <v>1159.159</v>
      </c>
      <c r="E16" s="41">
        <f t="shared" si="0"/>
        <v>46.980869776678965</v>
      </c>
    </row>
    <row r="17" spans="1:5" ht="60.75">
      <c r="A17" s="8">
        <v>1050400</v>
      </c>
      <c r="B17" s="90" t="s">
        <v>116</v>
      </c>
      <c r="C17" s="110">
        <f>районный!C17</f>
        <v>4000</v>
      </c>
      <c r="D17" s="110">
        <f>районный!D17</f>
        <v>4007.907</v>
      </c>
      <c r="E17" s="41">
        <f t="shared" si="0"/>
        <v>100.197675</v>
      </c>
    </row>
    <row r="18" spans="1:5" ht="20.25">
      <c r="A18" s="7">
        <v>1060000</v>
      </c>
      <c r="B18" s="83" t="s">
        <v>11</v>
      </c>
      <c r="C18" s="118">
        <f>SUM(C19:C20)</f>
        <v>23246.928</v>
      </c>
      <c r="D18" s="118">
        <f>SUM(D19:D20)</f>
        <v>4586.64458</v>
      </c>
      <c r="E18" s="55">
        <f t="shared" si="0"/>
        <v>19.7301104902979</v>
      </c>
    </row>
    <row r="19" spans="1:5" ht="20.25">
      <c r="A19" s="8">
        <v>1060100</v>
      </c>
      <c r="B19" s="90" t="s">
        <v>61</v>
      </c>
      <c r="C19" s="110">
        <v>6145</v>
      </c>
      <c r="D19" s="110">
        <v>573.90325</v>
      </c>
      <c r="E19" s="41">
        <f t="shared" si="0"/>
        <v>9.339353132628151</v>
      </c>
    </row>
    <row r="20" spans="1:5" ht="20.25">
      <c r="A20" s="8">
        <v>1060600</v>
      </c>
      <c r="B20" s="90" t="s">
        <v>12</v>
      </c>
      <c r="C20" s="110">
        <f>C21+C22</f>
        <v>17101.928</v>
      </c>
      <c r="D20" s="110">
        <f>D21+D22</f>
        <v>4012.74133</v>
      </c>
      <c r="E20" s="41">
        <f t="shared" si="0"/>
        <v>23.463678071852485</v>
      </c>
    </row>
    <row r="21" spans="1:5" ht="20.25">
      <c r="A21" s="26">
        <v>10606030</v>
      </c>
      <c r="B21" s="119" t="s">
        <v>193</v>
      </c>
      <c r="C21" s="120">
        <v>10025.128</v>
      </c>
      <c r="D21" s="120">
        <v>2866.086</v>
      </c>
      <c r="E21" s="46">
        <f t="shared" si="0"/>
        <v>28.589021506757817</v>
      </c>
    </row>
    <row r="22" spans="1:5" ht="20.25">
      <c r="A22" s="26">
        <v>10606040</v>
      </c>
      <c r="B22" s="119" t="s">
        <v>194</v>
      </c>
      <c r="C22" s="120">
        <v>7076.8</v>
      </c>
      <c r="D22" s="120">
        <v>1146.65533</v>
      </c>
      <c r="E22" s="46">
        <f t="shared" si="0"/>
        <v>16.20302015035044</v>
      </c>
    </row>
    <row r="23" spans="1:5" ht="20.25">
      <c r="A23" s="7">
        <v>1080000</v>
      </c>
      <c r="B23" s="111" t="s">
        <v>13</v>
      </c>
      <c r="C23" s="112">
        <f>SUM(C24:C27)</f>
        <v>5864.2</v>
      </c>
      <c r="D23" s="112">
        <f>SUM(D24:D27)</f>
        <v>2061.316</v>
      </c>
      <c r="E23" s="55">
        <f t="shared" si="0"/>
        <v>35.15084751543262</v>
      </c>
    </row>
    <row r="24" spans="1:5" ht="20.25">
      <c r="A24" s="8"/>
      <c r="B24" s="114" t="s">
        <v>6</v>
      </c>
      <c r="C24" s="110"/>
      <c r="D24" s="110"/>
      <c r="E24" s="41"/>
    </row>
    <row r="25" spans="1:5" ht="66" customHeight="1">
      <c r="A25" s="8">
        <v>1080300</v>
      </c>
      <c r="B25" s="90" t="s">
        <v>62</v>
      </c>
      <c r="C25" s="110">
        <f>районный!C22</f>
        <v>5800</v>
      </c>
      <c r="D25" s="110">
        <f>районный!D22</f>
        <v>2036.816</v>
      </c>
      <c r="E25" s="41">
        <f>D25/C25*100</f>
        <v>35.11751724137931</v>
      </c>
    </row>
    <row r="26" spans="1:5" ht="52.5" customHeight="1">
      <c r="A26" s="8">
        <v>1080400</v>
      </c>
      <c r="B26" s="90" t="s">
        <v>114</v>
      </c>
      <c r="C26" s="110">
        <v>64.2</v>
      </c>
      <c r="D26" s="110">
        <v>24.5</v>
      </c>
      <c r="E26" s="41">
        <f>D26/C26*100</f>
        <v>38.161993769470406</v>
      </c>
    </row>
    <row r="27" spans="1:5" ht="20.25" hidden="1">
      <c r="A27" s="8">
        <v>1080715</v>
      </c>
      <c r="B27" s="90" t="s">
        <v>93</v>
      </c>
      <c r="C27" s="110"/>
      <c r="D27" s="110"/>
      <c r="E27" s="41" t="e">
        <f>D27/C27*100</f>
        <v>#DIV/0!</v>
      </c>
    </row>
    <row r="28" spans="1:5" ht="60.75" hidden="1">
      <c r="A28" s="7">
        <v>1090000</v>
      </c>
      <c r="B28" s="83" t="s">
        <v>64</v>
      </c>
      <c r="C28" s="112">
        <f>C29+C30+C31</f>
        <v>0</v>
      </c>
      <c r="D28" s="112">
        <f>D29+D30+D31</f>
        <v>0</v>
      </c>
      <c r="E28" s="41"/>
    </row>
    <row r="29" spans="1:5" ht="20.25" hidden="1">
      <c r="A29" s="8">
        <v>1090100</v>
      </c>
      <c r="B29" s="114" t="s">
        <v>65</v>
      </c>
      <c r="C29" s="110"/>
      <c r="D29" s="110"/>
      <c r="E29" s="41"/>
    </row>
    <row r="30" spans="1:5" ht="23.25" customHeight="1" hidden="1">
      <c r="A30" s="8">
        <v>1090400</v>
      </c>
      <c r="B30" s="114" t="s">
        <v>66</v>
      </c>
      <c r="C30" s="110">
        <v>0</v>
      </c>
      <c r="D30" s="110">
        <v>0</v>
      </c>
      <c r="E30" s="41"/>
    </row>
    <row r="31" spans="1:5" ht="20.25" hidden="1">
      <c r="A31" s="8">
        <v>1090700</v>
      </c>
      <c r="B31" s="114" t="s">
        <v>67</v>
      </c>
      <c r="C31" s="110">
        <f>районный!C28</f>
        <v>0</v>
      </c>
      <c r="D31" s="110"/>
      <c r="E31" s="41"/>
    </row>
    <row r="32" spans="1:5" ht="63" customHeight="1">
      <c r="A32" s="7">
        <v>1110000</v>
      </c>
      <c r="B32" s="83" t="s">
        <v>34</v>
      </c>
      <c r="C32" s="112">
        <f>C36+C34+C38+C33+C39+C35+C37</f>
        <v>12694.021999999999</v>
      </c>
      <c r="D32" s="112">
        <f>D36+D34+D38+D33+D39+D35+D37</f>
        <v>7005.7059899999995</v>
      </c>
      <c r="E32" s="55">
        <f>D32/C32*100</f>
        <v>55.189017239768454</v>
      </c>
    </row>
    <row r="33" spans="1:5" ht="60.75" hidden="1">
      <c r="A33" s="8">
        <v>1110305</v>
      </c>
      <c r="B33" s="90" t="s">
        <v>68</v>
      </c>
      <c r="C33" s="110">
        <v>0</v>
      </c>
      <c r="D33" s="110">
        <v>0</v>
      </c>
      <c r="E33" s="41"/>
    </row>
    <row r="34" spans="1:5" ht="64.5" customHeight="1">
      <c r="A34" s="8">
        <v>1110501</v>
      </c>
      <c r="B34" s="90" t="str">
        <f>районный!B31</f>
        <v>доходы,получаемые в виде арендной платы за земли,  государственная собственности на которые не разграничена</v>
      </c>
      <c r="C34" s="110">
        <v>6853.5</v>
      </c>
      <c r="D34" s="110">
        <v>5010.84038</v>
      </c>
      <c r="E34" s="41">
        <f aca="true" t="shared" si="1" ref="E34:E48">D34/C34*100</f>
        <v>73.11359714014736</v>
      </c>
    </row>
    <row r="35" spans="1:5" ht="101.25">
      <c r="A35" s="8">
        <v>1110502</v>
      </c>
      <c r="B35" s="90" t="str">
        <f>районный!B32</f>
        <v>доходы,получаемые в виде арендной платы за земли  после разграничения государственной собственности на землю ( за исключением зем. участков бюджетных и автономных учреждений)</v>
      </c>
      <c r="C35" s="110">
        <v>4860.222</v>
      </c>
      <c r="D35" s="110">
        <v>1624.9933</v>
      </c>
      <c r="E35" s="41">
        <f t="shared" si="1"/>
        <v>33.43454887451644</v>
      </c>
    </row>
    <row r="36" spans="1:5" ht="60.75">
      <c r="A36" s="8">
        <v>1110503</v>
      </c>
      <c r="B36" s="90" t="s">
        <v>35</v>
      </c>
      <c r="C36" s="110">
        <v>465.5</v>
      </c>
      <c r="D36" s="110">
        <v>229.588</v>
      </c>
      <c r="E36" s="41">
        <f t="shared" si="1"/>
        <v>49.320730397422125</v>
      </c>
    </row>
    <row r="37" spans="1:5" ht="40.5" customHeight="1">
      <c r="A37" s="8">
        <v>1110507</v>
      </c>
      <c r="B37" s="90" t="str">
        <f>районный!B34</f>
        <v>доходы от сдачи в аренду имущества,составляющего муниципальную казну</v>
      </c>
      <c r="C37" s="121">
        <v>512.9</v>
      </c>
      <c r="D37" s="121">
        <v>140.28431</v>
      </c>
      <c r="E37" s="41">
        <f t="shared" si="1"/>
        <v>27.351201013842857</v>
      </c>
    </row>
    <row r="38" spans="1:5" ht="40.5" customHeight="1" hidden="1">
      <c r="A38" s="8">
        <v>1110701</v>
      </c>
      <c r="B38" s="90" t="s">
        <v>70</v>
      </c>
      <c r="C38" s="121">
        <v>0</v>
      </c>
      <c r="D38" s="121">
        <v>0</v>
      </c>
      <c r="E38" s="41"/>
    </row>
    <row r="39" spans="1:5" ht="66.75" customHeight="1">
      <c r="A39" s="8">
        <v>1110900</v>
      </c>
      <c r="B39" s="90" t="s">
        <v>69</v>
      </c>
      <c r="C39" s="110">
        <f>районный!C36</f>
        <v>1.9</v>
      </c>
      <c r="D39" s="110">
        <f>районный!D36</f>
        <v>0</v>
      </c>
      <c r="E39" s="41">
        <f t="shared" si="1"/>
        <v>0</v>
      </c>
    </row>
    <row r="40" spans="1:6" ht="40.5">
      <c r="A40" s="8">
        <v>1120100</v>
      </c>
      <c r="B40" s="122" t="s">
        <v>71</v>
      </c>
      <c r="C40" s="112">
        <f>районный!C37</f>
        <v>217.1</v>
      </c>
      <c r="D40" s="112">
        <f>районный!D37</f>
        <v>141.233</v>
      </c>
      <c r="E40" s="43">
        <f t="shared" si="1"/>
        <v>65.05435283279594</v>
      </c>
      <c r="F40" s="1"/>
    </row>
    <row r="41" spans="1:5" ht="40.5">
      <c r="A41" s="8">
        <v>1130000</v>
      </c>
      <c r="B41" s="122" t="s">
        <v>36</v>
      </c>
      <c r="C41" s="112">
        <f>C42+C43</f>
        <v>1630.282</v>
      </c>
      <c r="D41" s="112">
        <f>D42+D43</f>
        <v>1523.54116</v>
      </c>
      <c r="E41" s="43">
        <f t="shared" si="1"/>
        <v>93.45261494637126</v>
      </c>
    </row>
    <row r="42" spans="1:5" ht="57" customHeight="1">
      <c r="A42" s="9">
        <f>районный!A39</f>
        <v>1130100</v>
      </c>
      <c r="B42" s="123" t="str">
        <f>районный!B39</f>
        <v>Прочие доходы от оказания платных услуг (работ) получателями средств бюджетов муниципальных районов</v>
      </c>
      <c r="C42" s="117">
        <f>районный!C39</f>
        <v>1200</v>
      </c>
      <c r="D42" s="117">
        <f>районный!D39</f>
        <v>404.242</v>
      </c>
      <c r="E42" s="46">
        <f t="shared" si="1"/>
        <v>33.68683333333333</v>
      </c>
    </row>
    <row r="43" spans="1:5" ht="40.5">
      <c r="A43" s="9">
        <f>районный!A40</f>
        <v>1130200</v>
      </c>
      <c r="B43" s="123" t="str">
        <f>районный!B40</f>
        <v>Прочие доходы от компенсации затрат  бюджетов муниципальных районов</v>
      </c>
      <c r="C43" s="117">
        <v>430.282</v>
      </c>
      <c r="D43" s="117">
        <v>1119.29916</v>
      </c>
      <c r="E43" s="46">
        <f t="shared" si="1"/>
        <v>260.1315323439047</v>
      </c>
    </row>
    <row r="44" spans="1:5" ht="40.5">
      <c r="A44" s="8">
        <v>1140000</v>
      </c>
      <c r="B44" s="122" t="s">
        <v>72</v>
      </c>
      <c r="C44" s="112">
        <v>1702.868</v>
      </c>
      <c r="D44" s="112">
        <v>4977.83</v>
      </c>
      <c r="E44" s="43">
        <f t="shared" si="1"/>
        <v>292.3203677560445</v>
      </c>
    </row>
    <row r="45" spans="1:5" ht="141.75" hidden="1">
      <c r="A45" s="8">
        <f>районный!A42</f>
        <v>1140200</v>
      </c>
      <c r="B45" s="116" t="str">
        <f>районный!B42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C45" s="124">
        <v>305.4</v>
      </c>
      <c r="D45" s="124">
        <v>305.4</v>
      </c>
      <c r="E45" s="46">
        <f t="shared" si="1"/>
        <v>100</v>
      </c>
    </row>
    <row r="46" spans="1:5" ht="0.75" customHeight="1" hidden="1">
      <c r="A46" s="8">
        <f>районный!A43</f>
        <v>1140600</v>
      </c>
      <c r="B46" s="116" t="str">
        <f>районный!B43</f>
        <v>Доходы от продажи земельных участков, находящихся в государственной и муниципальной собственности</v>
      </c>
      <c r="C46" s="124">
        <v>937.58933</v>
      </c>
      <c r="D46" s="124">
        <v>1850.765</v>
      </c>
      <c r="E46" s="46">
        <f t="shared" si="1"/>
        <v>197.3961243778233</v>
      </c>
    </row>
    <row r="47" spans="1:5" ht="81" hidden="1">
      <c r="A47" s="8">
        <f>районный!A44</f>
        <v>1141300</v>
      </c>
      <c r="B47" s="116" t="str">
        <f>районный!B44</f>
        <v>Доходы от приватизации имущества, находящегося в собственности муниципальных районов, в части приватизации нефинансовых активов имущества казны</v>
      </c>
      <c r="C47" s="124">
        <f>районный!C44</f>
        <v>523.47</v>
      </c>
      <c r="D47" s="124">
        <v>436.226</v>
      </c>
      <c r="E47" s="46">
        <f t="shared" si="1"/>
        <v>83.3335243662483</v>
      </c>
    </row>
    <row r="48" spans="1:5" ht="20.25">
      <c r="A48" s="8">
        <v>1160000</v>
      </c>
      <c r="B48" s="111" t="s">
        <v>14</v>
      </c>
      <c r="C48" s="112">
        <v>1480.4</v>
      </c>
      <c r="D48" s="112">
        <v>292.50517</v>
      </c>
      <c r="E48" s="43">
        <f t="shared" si="1"/>
        <v>19.758522696568495</v>
      </c>
    </row>
    <row r="49" spans="1:5" ht="20.25">
      <c r="A49" s="8">
        <v>1170000</v>
      </c>
      <c r="B49" s="83" t="s">
        <v>15</v>
      </c>
      <c r="C49" s="112">
        <v>235</v>
      </c>
      <c r="D49" s="112">
        <v>0.03743</v>
      </c>
      <c r="E49" s="41">
        <v>0</v>
      </c>
    </row>
    <row r="50" spans="1:5" ht="20.25" hidden="1">
      <c r="A50" s="8">
        <v>1180000</v>
      </c>
      <c r="B50" s="83" t="s">
        <v>73</v>
      </c>
      <c r="C50" s="112"/>
      <c r="D50" s="112"/>
      <c r="E50" s="43"/>
    </row>
    <row r="51" spans="1:5" ht="20.25">
      <c r="A51" s="8"/>
      <c r="B51" s="111" t="s">
        <v>16</v>
      </c>
      <c r="C51" s="110">
        <f>SUM(C5)</f>
        <v>297717.2</v>
      </c>
      <c r="D51" s="110">
        <f>SUM(D5)</f>
        <v>68732.66099</v>
      </c>
      <c r="E51" s="41">
        <f aca="true" t="shared" si="2" ref="E51:E56">D51/C51*100</f>
        <v>23.086560329735736</v>
      </c>
    </row>
    <row r="52" spans="1:5" ht="20.25">
      <c r="A52" s="6">
        <v>2000000</v>
      </c>
      <c r="B52" s="125" t="s">
        <v>74</v>
      </c>
      <c r="C52" s="109">
        <f>C53+C62+C65+C66+C61+C63+C64</f>
        <v>1796183.4025599998</v>
      </c>
      <c r="D52" s="109">
        <f>D53+D62+D65+D66+D61+D63+D64</f>
        <v>584573.4177999999</v>
      </c>
      <c r="E52" s="47">
        <f>E53+E62+E65+E66</f>
        <v>32.672823820519845</v>
      </c>
    </row>
    <row r="53" spans="1:5" ht="20.25">
      <c r="A53" s="8">
        <v>2020000</v>
      </c>
      <c r="B53" s="114" t="s">
        <v>17</v>
      </c>
      <c r="C53" s="110">
        <f>C54+C58+C59+C60</f>
        <v>1798095.90015</v>
      </c>
      <c r="D53" s="110">
        <f>D54+D58+D59+D60</f>
        <v>587488.70558</v>
      </c>
      <c r="E53" s="41">
        <f t="shared" si="2"/>
        <v>32.672823820519845</v>
      </c>
    </row>
    <row r="54" spans="1:5" ht="20.25">
      <c r="A54" s="8">
        <v>2020100</v>
      </c>
      <c r="B54" s="114" t="s">
        <v>75</v>
      </c>
      <c r="C54" s="110">
        <f>SUM(C55:C56)+C57</f>
        <v>864084.1000000001</v>
      </c>
      <c r="D54" s="110">
        <f>SUM(D55:D56)+D57</f>
        <v>347309.6</v>
      </c>
      <c r="E54" s="41">
        <f t="shared" si="2"/>
        <v>40.193957972377916</v>
      </c>
    </row>
    <row r="55" spans="1:5" ht="20.25">
      <c r="A55" s="8"/>
      <c r="B55" s="114" t="s">
        <v>76</v>
      </c>
      <c r="C55" s="117">
        <f>районный!C56</f>
        <v>389651.5</v>
      </c>
      <c r="D55" s="117">
        <f>районный!D56</f>
        <v>315149.1</v>
      </c>
      <c r="E55" s="41">
        <f t="shared" si="2"/>
        <v>80.8797348399788</v>
      </c>
    </row>
    <row r="56" spans="1:5" ht="20.25">
      <c r="A56" s="8"/>
      <c r="B56" s="114" t="s">
        <v>77</v>
      </c>
      <c r="C56" s="117">
        <f>районный!C57</f>
        <v>291376.3</v>
      </c>
      <c r="D56" s="117">
        <f>районный!D57</f>
        <v>0</v>
      </c>
      <c r="E56" s="41">
        <f t="shared" si="2"/>
        <v>0</v>
      </c>
    </row>
    <row r="57" spans="1:5" ht="20.25">
      <c r="A57" s="8"/>
      <c r="B57" s="114" t="s">
        <v>78</v>
      </c>
      <c r="C57" s="117">
        <f>районный!C58</f>
        <v>183056.3</v>
      </c>
      <c r="D57" s="117">
        <f>районный!D58</f>
        <v>32160.5</v>
      </c>
      <c r="E57" s="41"/>
    </row>
    <row r="58" spans="1:5" ht="20.25">
      <c r="A58" s="8">
        <v>2022000</v>
      </c>
      <c r="B58" s="114" t="s">
        <v>19</v>
      </c>
      <c r="C58" s="117">
        <v>140845.45977</v>
      </c>
      <c r="D58" s="117">
        <v>17919.00816</v>
      </c>
      <c r="E58" s="41">
        <f>D58/C58*100</f>
        <v>12.722460624049695</v>
      </c>
    </row>
    <row r="59" spans="1:5" ht="26.25" customHeight="1">
      <c r="A59" s="8">
        <v>2023000</v>
      </c>
      <c r="B59" s="114" t="s">
        <v>18</v>
      </c>
      <c r="C59" s="110">
        <f>районный!C60</f>
        <v>738474.288</v>
      </c>
      <c r="D59" s="110">
        <f>районный!D60+0.00042</f>
        <v>204692.75542</v>
      </c>
      <c r="E59" s="41">
        <f>D59/C59*100</f>
        <v>27.71833207278843</v>
      </c>
    </row>
    <row r="60" spans="1:5" ht="20.25">
      <c r="A60" s="8">
        <v>2024000</v>
      </c>
      <c r="B60" s="90" t="s">
        <v>99</v>
      </c>
      <c r="C60" s="110">
        <v>54692.05238</v>
      </c>
      <c r="D60" s="110">
        <v>17567.342</v>
      </c>
      <c r="E60" s="41">
        <f>D60/C60*100</f>
        <v>32.12046583650259</v>
      </c>
    </row>
    <row r="61" spans="1:5" ht="0.75" customHeight="1">
      <c r="A61" s="8">
        <v>2040509</v>
      </c>
      <c r="B61" s="90" t="s">
        <v>79</v>
      </c>
      <c r="C61" s="110"/>
      <c r="D61" s="110"/>
      <c r="E61" s="41"/>
    </row>
    <row r="62" spans="1:5" ht="20.25">
      <c r="A62" s="8">
        <v>2070500</v>
      </c>
      <c r="B62" s="90" t="s">
        <v>79</v>
      </c>
      <c r="C62" s="110">
        <v>181.601</v>
      </c>
      <c r="D62" s="110">
        <v>0</v>
      </c>
      <c r="E62" s="41">
        <f>D62/C62*100</f>
        <v>0</v>
      </c>
    </row>
    <row r="63" spans="1:5" ht="162" hidden="1">
      <c r="A63" s="13" t="str">
        <f>районный!A63</f>
        <v>2080500</v>
      </c>
      <c r="B63" s="178" t="str">
        <f>районный!B63</f>
        <v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C63" s="13">
        <f>районный!C63</f>
        <v>0</v>
      </c>
      <c r="D63" s="13">
        <f>районный!D63</f>
        <v>0</v>
      </c>
      <c r="E63" s="41"/>
    </row>
    <row r="64" spans="1:5" ht="162" hidden="1">
      <c r="A64" s="13" t="s">
        <v>219</v>
      </c>
      <c r="B64" s="90" t="s">
        <v>220</v>
      </c>
      <c r="C64" s="110">
        <v>0</v>
      </c>
      <c r="D64" s="110"/>
      <c r="E64" s="41"/>
    </row>
    <row r="65" spans="1:5" ht="22.5" customHeight="1">
      <c r="A65" s="10">
        <v>2180000</v>
      </c>
      <c r="B65" s="126" t="s">
        <v>73</v>
      </c>
      <c r="C65" s="127">
        <v>884.28341</v>
      </c>
      <c r="D65" s="127">
        <v>733.61022</v>
      </c>
      <c r="E65" s="49"/>
    </row>
    <row r="66" spans="1:5" ht="40.5">
      <c r="A66" s="10">
        <v>2190000</v>
      </c>
      <c r="B66" s="126" t="s">
        <v>48</v>
      </c>
      <c r="C66" s="127">
        <v>-2978.382</v>
      </c>
      <c r="D66" s="127">
        <v>-3648.898</v>
      </c>
      <c r="E66" s="49"/>
    </row>
    <row r="67" spans="1:7" ht="27" customHeight="1">
      <c r="A67" s="11"/>
      <c r="B67" s="128" t="s">
        <v>21</v>
      </c>
      <c r="C67" s="129">
        <f>SUM(C51+C52)</f>
        <v>2093900.6025599998</v>
      </c>
      <c r="D67" s="129">
        <f>SUM(D51+D52)</f>
        <v>653306.0787899999</v>
      </c>
      <c r="E67" s="130">
        <f>D67/C67*100</f>
        <v>31.200434155817565</v>
      </c>
      <c r="G67" s="5"/>
    </row>
    <row r="68" spans="1:5" ht="20.25">
      <c r="A68" s="7"/>
      <c r="B68" s="131"/>
      <c r="C68" s="118"/>
      <c r="D68" s="118"/>
      <c r="E68" s="41"/>
    </row>
    <row r="69" spans="1:5" ht="18.75">
      <c r="A69" s="190" t="s">
        <v>22</v>
      </c>
      <c r="B69" s="191"/>
      <c r="C69" s="191"/>
      <c r="D69" s="191"/>
      <c r="E69" s="192"/>
    </row>
    <row r="70" spans="1:5" ht="20.25">
      <c r="A70" s="6">
        <v>1</v>
      </c>
      <c r="B70" s="125" t="s">
        <v>30</v>
      </c>
      <c r="C70" s="109">
        <f>C71+C74+C77+C83+C87+C89+C86+C81</f>
        <v>199133.88099999996</v>
      </c>
      <c r="D70" s="109">
        <f>D71+D74+D77+D83+D87+D89+D86+D81</f>
        <v>54949.38543</v>
      </c>
      <c r="E70" s="48">
        <f aca="true" t="shared" si="3" ref="E70:E87">D70/C70*100</f>
        <v>27.594191984838588</v>
      </c>
    </row>
    <row r="71" spans="1:5" ht="60.75">
      <c r="A71" s="12" t="s">
        <v>133</v>
      </c>
      <c r="B71" s="132" t="s">
        <v>83</v>
      </c>
      <c r="C71" s="118">
        <f>C72+C73</f>
        <v>12558.198999999999</v>
      </c>
      <c r="D71" s="118">
        <f>D72+D73</f>
        <v>3758.1870000000004</v>
      </c>
      <c r="E71" s="55">
        <f t="shared" si="3"/>
        <v>29.926162182969072</v>
      </c>
    </row>
    <row r="72" spans="1:5" ht="18" customHeight="1">
      <c r="A72" s="13"/>
      <c r="B72" s="114" t="s">
        <v>26</v>
      </c>
      <c r="C72" s="110">
        <v>12470.399</v>
      </c>
      <c r="D72" s="110">
        <v>3697.637</v>
      </c>
      <c r="E72" s="41">
        <f t="shared" si="3"/>
        <v>29.651312680532516</v>
      </c>
    </row>
    <row r="73" spans="1:5" ht="20.25">
      <c r="A73" s="13"/>
      <c r="B73" s="114" t="s">
        <v>40</v>
      </c>
      <c r="C73" s="110">
        <v>87.8</v>
      </c>
      <c r="D73" s="110">
        <v>60.55</v>
      </c>
      <c r="E73" s="41"/>
    </row>
    <row r="74" spans="1:5" ht="60.75">
      <c r="A74" s="12" t="s">
        <v>134</v>
      </c>
      <c r="B74" s="83" t="s">
        <v>123</v>
      </c>
      <c r="C74" s="118">
        <f>SUM(C75:C76)</f>
        <v>12527.106</v>
      </c>
      <c r="D74" s="118">
        <f>SUM(D75:D76)</f>
        <v>3571.659</v>
      </c>
      <c r="E74" s="55">
        <f t="shared" si="3"/>
        <v>28.511445500660727</v>
      </c>
    </row>
    <row r="75" spans="1:5" ht="20.25">
      <c r="A75" s="13"/>
      <c r="B75" s="90" t="s">
        <v>85</v>
      </c>
      <c r="C75" s="110">
        <f>8420.642+2543.037</f>
        <v>10963.679</v>
      </c>
      <c r="D75" s="110">
        <f>622.98+2475.753</f>
        <v>3098.733</v>
      </c>
      <c r="E75" s="41">
        <f t="shared" si="3"/>
        <v>28.26362391675276</v>
      </c>
    </row>
    <row r="76" spans="1:5" ht="20.25">
      <c r="A76" s="13"/>
      <c r="B76" s="114" t="s">
        <v>23</v>
      </c>
      <c r="C76" s="110">
        <f>12527.106-C75</f>
        <v>1563.4269999999997</v>
      </c>
      <c r="D76" s="110">
        <f>3571.659-D75</f>
        <v>472.92599999999993</v>
      </c>
      <c r="E76" s="41">
        <f t="shared" si="3"/>
        <v>30.249317684803962</v>
      </c>
    </row>
    <row r="77" spans="1:5" ht="20.25">
      <c r="A77" s="12" t="s">
        <v>135</v>
      </c>
      <c r="B77" s="111" t="s">
        <v>86</v>
      </c>
      <c r="C77" s="118">
        <f>SUM(C78:C79)</f>
        <v>100868.449</v>
      </c>
      <c r="D77" s="118">
        <f>SUM(D78:D80)</f>
        <v>27520.855</v>
      </c>
      <c r="E77" s="55">
        <f t="shared" si="3"/>
        <v>27.2839081723166</v>
      </c>
    </row>
    <row r="78" spans="1:5" ht="20.25">
      <c r="A78" s="13"/>
      <c r="B78" s="114" t="s">
        <v>45</v>
      </c>
      <c r="C78" s="110">
        <f>60751.03+18387.81</f>
        <v>79138.84</v>
      </c>
      <c r="D78" s="110">
        <f>15958.599+4260.073</f>
        <v>20218.672</v>
      </c>
      <c r="E78" s="41">
        <f t="shared" si="3"/>
        <v>25.548355270307223</v>
      </c>
    </row>
    <row r="79" spans="1:5" ht="18" customHeight="1">
      <c r="A79" s="13"/>
      <c r="B79" s="114" t="s">
        <v>40</v>
      </c>
      <c r="C79" s="110">
        <f>100868.449-C78</f>
        <v>21729.608999999997</v>
      </c>
      <c r="D79" s="110">
        <f>27520.855-D78</f>
        <v>7302.183000000001</v>
      </c>
      <c r="E79" s="41">
        <f t="shared" si="3"/>
        <v>33.604760214507316</v>
      </c>
    </row>
    <row r="80" spans="1:5" ht="20.25" hidden="1">
      <c r="A80" s="13"/>
      <c r="B80" s="114" t="s">
        <v>122</v>
      </c>
      <c r="C80" s="110">
        <v>0</v>
      </c>
      <c r="D80" s="110"/>
      <c r="E80" s="41"/>
    </row>
    <row r="81" spans="1:5" ht="20.25">
      <c r="A81" s="12" t="s">
        <v>136</v>
      </c>
      <c r="B81" s="111" t="s">
        <v>49</v>
      </c>
      <c r="C81" s="118">
        <f>SUM(C82)</f>
        <v>13.3</v>
      </c>
      <c r="D81" s="118">
        <f>SUM(D82)</f>
        <v>0</v>
      </c>
      <c r="E81" s="41">
        <f t="shared" si="3"/>
        <v>0</v>
      </c>
    </row>
    <row r="82" spans="1:5" ht="20.25">
      <c r="A82" s="13"/>
      <c r="B82" s="114" t="s">
        <v>50</v>
      </c>
      <c r="C82" s="110">
        <f>районный!C85</f>
        <v>13.3</v>
      </c>
      <c r="D82" s="110">
        <f>районный!D85</f>
        <v>0</v>
      </c>
      <c r="E82" s="41">
        <f t="shared" si="3"/>
        <v>0</v>
      </c>
    </row>
    <row r="83" spans="1:5" ht="40.5">
      <c r="A83" s="12" t="s">
        <v>137</v>
      </c>
      <c r="B83" s="83" t="s">
        <v>87</v>
      </c>
      <c r="C83" s="118">
        <f>SUM(C84:C85)</f>
        <v>22349.057</v>
      </c>
      <c r="D83" s="118">
        <f>SUM(D84:D85)</f>
        <v>6631.37</v>
      </c>
      <c r="E83" s="55">
        <f t="shared" si="3"/>
        <v>29.67181120885771</v>
      </c>
    </row>
    <row r="84" spans="1:5" ht="20.25">
      <c r="A84" s="13"/>
      <c r="B84" s="114" t="s">
        <v>45</v>
      </c>
      <c r="C84" s="110">
        <f>районный!C87</f>
        <v>19961.166</v>
      </c>
      <c r="D84" s="110">
        <f>районный!D87</f>
        <v>5945.044</v>
      </c>
      <c r="E84" s="41">
        <f t="shared" si="3"/>
        <v>29.783049747695095</v>
      </c>
    </row>
    <row r="85" spans="1:5" ht="18" customHeight="1">
      <c r="A85" s="13"/>
      <c r="B85" s="114" t="s">
        <v>40</v>
      </c>
      <c r="C85" s="110">
        <f>районный!C88</f>
        <v>2387.8909999999996</v>
      </c>
      <c r="D85" s="110">
        <f>районный!D88</f>
        <v>686.326</v>
      </c>
      <c r="E85" s="41">
        <f t="shared" si="3"/>
        <v>28.74193168783668</v>
      </c>
    </row>
    <row r="86" spans="1:5" ht="40.5" hidden="1">
      <c r="A86" s="12" t="s">
        <v>138</v>
      </c>
      <c r="B86" s="83" t="s">
        <v>37</v>
      </c>
      <c r="C86" s="118">
        <f>районный!C89</f>
        <v>0</v>
      </c>
      <c r="D86" s="118">
        <f>районный!D89+0.00043</f>
        <v>0.00043</v>
      </c>
      <c r="E86" s="41" t="e">
        <f t="shared" si="3"/>
        <v>#DIV/0!</v>
      </c>
    </row>
    <row r="87" spans="1:5" ht="18" customHeight="1">
      <c r="A87" s="12" t="s">
        <v>139</v>
      </c>
      <c r="B87" s="83" t="s">
        <v>88</v>
      </c>
      <c r="C87" s="118">
        <v>1074.144</v>
      </c>
      <c r="D87" s="118">
        <v>0</v>
      </c>
      <c r="E87" s="41">
        <f t="shared" si="3"/>
        <v>0</v>
      </c>
    </row>
    <row r="88" spans="1:5" ht="20.25" hidden="1">
      <c r="A88" s="12">
        <v>113</v>
      </c>
      <c r="B88" s="83"/>
      <c r="C88" s="118"/>
      <c r="D88" s="118"/>
      <c r="E88" s="41"/>
    </row>
    <row r="89" spans="1:5" ht="20.25">
      <c r="A89" s="12" t="s">
        <v>140</v>
      </c>
      <c r="B89" s="83" t="s">
        <v>38</v>
      </c>
      <c r="C89" s="118">
        <f>SUM(C90:C91)</f>
        <v>49743.626</v>
      </c>
      <c r="D89" s="118">
        <f>SUM(D90:D91)</f>
        <v>13467.314</v>
      </c>
      <c r="E89" s="41">
        <f aca="true" t="shared" si="4" ref="E89:E110">D89/C89*100</f>
        <v>27.073446555745655</v>
      </c>
    </row>
    <row r="90" spans="1:5" ht="20.25">
      <c r="A90" s="13"/>
      <c r="B90" s="90" t="s">
        <v>39</v>
      </c>
      <c r="C90" s="110">
        <v>42800.679</v>
      </c>
      <c r="D90" s="110">
        <v>11158.587</v>
      </c>
      <c r="E90" s="41">
        <f t="shared" si="4"/>
        <v>26.071051349442374</v>
      </c>
    </row>
    <row r="91" spans="1:5" ht="20.25">
      <c r="A91" s="13"/>
      <c r="B91" s="90" t="s">
        <v>50</v>
      </c>
      <c r="C91" s="110">
        <f>49743.626-C90</f>
        <v>6942.947</v>
      </c>
      <c r="D91" s="110">
        <f>13467.314-D90</f>
        <v>2308.7270000000008</v>
      </c>
      <c r="E91" s="41">
        <f t="shared" si="4"/>
        <v>33.25283917621726</v>
      </c>
    </row>
    <row r="92" spans="1:5" ht="20.25">
      <c r="A92" s="14" t="s">
        <v>150</v>
      </c>
      <c r="B92" s="133" t="s">
        <v>47</v>
      </c>
      <c r="C92" s="109">
        <f>C93</f>
        <v>3471.1</v>
      </c>
      <c r="D92" s="109">
        <f>D93</f>
        <v>826.275</v>
      </c>
      <c r="E92" s="48">
        <f t="shared" si="4"/>
        <v>23.80441358647115</v>
      </c>
    </row>
    <row r="93" spans="1:5" ht="20.25">
      <c r="A93" s="12" t="s">
        <v>151</v>
      </c>
      <c r="B93" s="134" t="s">
        <v>51</v>
      </c>
      <c r="C93" s="110">
        <f>районный!C97</f>
        <v>3471.1</v>
      </c>
      <c r="D93" s="110">
        <v>826.275</v>
      </c>
      <c r="E93" s="41">
        <f t="shared" si="4"/>
        <v>23.80441358647115</v>
      </c>
    </row>
    <row r="94" spans="1:5" ht="34.5" customHeight="1">
      <c r="A94" s="15" t="s">
        <v>152</v>
      </c>
      <c r="B94" s="89" t="s">
        <v>89</v>
      </c>
      <c r="C94" s="109">
        <f>C95+C102+C98</f>
        <v>23423.988</v>
      </c>
      <c r="D94" s="109">
        <f>D95+D102+D98</f>
        <v>5803.126</v>
      </c>
      <c r="E94" s="48">
        <f t="shared" si="4"/>
        <v>24.774286940379238</v>
      </c>
    </row>
    <row r="95" spans="1:5" ht="60.75">
      <c r="A95" s="12" t="s">
        <v>153</v>
      </c>
      <c r="B95" s="122" t="s">
        <v>54</v>
      </c>
      <c r="C95" s="118">
        <f>C96+C97</f>
        <v>1</v>
      </c>
      <c r="D95" s="118">
        <f>D96+D97</f>
        <v>0</v>
      </c>
      <c r="E95" s="41">
        <f t="shared" si="4"/>
        <v>0</v>
      </c>
    </row>
    <row r="96" spans="1:5" ht="20.25" hidden="1">
      <c r="A96" s="12"/>
      <c r="B96" s="90" t="s">
        <v>39</v>
      </c>
      <c r="C96" s="110">
        <f>районный!C100</f>
        <v>0</v>
      </c>
      <c r="D96" s="110">
        <f>районный!D100</f>
        <v>0</v>
      </c>
      <c r="E96" s="41" t="e">
        <f t="shared" si="4"/>
        <v>#DIV/0!</v>
      </c>
    </row>
    <row r="97" spans="1:5" ht="20.25">
      <c r="A97" s="13"/>
      <c r="B97" s="90" t="s">
        <v>50</v>
      </c>
      <c r="C97" s="110">
        <v>1</v>
      </c>
      <c r="D97" s="110">
        <v>0</v>
      </c>
      <c r="E97" s="41">
        <f t="shared" si="4"/>
        <v>0</v>
      </c>
    </row>
    <row r="98" spans="1:5" ht="20.25">
      <c r="A98" s="12" t="s">
        <v>168</v>
      </c>
      <c r="B98" s="135" t="s">
        <v>52</v>
      </c>
      <c r="C98" s="118">
        <f>C99+C101+C100</f>
        <v>23247.784</v>
      </c>
      <c r="D98" s="118">
        <f>D99+D101+D100</f>
        <v>5693.706</v>
      </c>
      <c r="E98" s="55">
        <f t="shared" si="4"/>
        <v>24.49139238389345</v>
      </c>
    </row>
    <row r="99" spans="1:5" ht="18" customHeight="1">
      <c r="A99" s="12"/>
      <c r="B99" s="90" t="s">
        <v>39</v>
      </c>
      <c r="C99" s="110">
        <v>15176.591</v>
      </c>
      <c r="D99" s="110">
        <v>4352.276</v>
      </c>
      <c r="E99" s="41">
        <f t="shared" si="4"/>
        <v>28.677560066025364</v>
      </c>
    </row>
    <row r="100" spans="1:5" ht="18.75" customHeight="1" hidden="1">
      <c r="A100" s="12"/>
      <c r="B100" s="114" t="s">
        <v>115</v>
      </c>
      <c r="C100" s="110"/>
      <c r="D100" s="110"/>
      <c r="E100" s="41"/>
    </row>
    <row r="101" spans="1:5" ht="20.25">
      <c r="A101" s="13"/>
      <c r="B101" s="90" t="s">
        <v>50</v>
      </c>
      <c r="C101" s="110">
        <f>23247.784-C99</f>
        <v>8071.192999999999</v>
      </c>
      <c r="D101" s="110">
        <f>5693.706-D99</f>
        <v>1341.4300000000003</v>
      </c>
      <c r="E101" s="41">
        <f t="shared" si="4"/>
        <v>16.61997179351306</v>
      </c>
    </row>
    <row r="102" spans="1:5" ht="40.5">
      <c r="A102" s="12" t="s">
        <v>169</v>
      </c>
      <c r="B102" s="83" t="s">
        <v>90</v>
      </c>
      <c r="C102" s="118">
        <f>C104+C103</f>
        <v>175.204</v>
      </c>
      <c r="D102" s="118">
        <f>D104+D103</f>
        <v>109.42</v>
      </c>
      <c r="E102" s="55">
        <f t="shared" si="4"/>
        <v>62.45291203397183</v>
      </c>
    </row>
    <row r="103" spans="1:5" ht="20.25">
      <c r="A103" s="12"/>
      <c r="B103" s="114" t="s">
        <v>115</v>
      </c>
      <c r="C103" s="110">
        <f>районный!C110</f>
        <v>94</v>
      </c>
      <c r="D103" s="110">
        <f>районный!D110</f>
        <v>94</v>
      </c>
      <c r="E103" s="41">
        <f t="shared" si="4"/>
        <v>100</v>
      </c>
    </row>
    <row r="104" spans="1:5" ht="20.25">
      <c r="A104" s="13"/>
      <c r="B104" s="90" t="s">
        <v>50</v>
      </c>
      <c r="C104" s="110">
        <f>175.204-C103</f>
        <v>81.20400000000001</v>
      </c>
      <c r="D104" s="110">
        <v>15.42</v>
      </c>
      <c r="E104" s="41">
        <f t="shared" si="4"/>
        <v>18.989212354071224</v>
      </c>
    </row>
    <row r="105" spans="1:5" ht="20.25">
      <c r="A105" s="15" t="s">
        <v>142</v>
      </c>
      <c r="B105" s="125" t="s">
        <v>42</v>
      </c>
      <c r="C105" s="109">
        <f>SUM(C113+C122+C106+C110+C116+C120)</f>
        <v>171361.236</v>
      </c>
      <c r="D105" s="109">
        <f>SUM(D113+D122+D106+D110+D116+D120)</f>
        <v>19476.47</v>
      </c>
      <c r="E105" s="48">
        <f t="shared" si="4"/>
        <v>11.365738515098013</v>
      </c>
    </row>
    <row r="106" spans="1:5" ht="20.25">
      <c r="A106" s="16" t="s">
        <v>144</v>
      </c>
      <c r="B106" s="111" t="s">
        <v>0</v>
      </c>
      <c r="C106" s="118">
        <f>SUM(C107:C109)</f>
        <v>5262.1</v>
      </c>
      <c r="D106" s="118">
        <f>SUM(D107:D109)</f>
        <v>1457.599</v>
      </c>
      <c r="E106" s="55">
        <f t="shared" si="4"/>
        <v>27.699948689686625</v>
      </c>
    </row>
    <row r="107" spans="1:5" ht="18" customHeight="1">
      <c r="A107" s="16"/>
      <c r="B107" s="90" t="s">
        <v>39</v>
      </c>
      <c r="C107" s="110">
        <f>районный!C113</f>
        <v>4760.9</v>
      </c>
      <c r="D107" s="110">
        <f>районный!D113</f>
        <v>1241.3870000000002</v>
      </c>
      <c r="E107" s="41">
        <f t="shared" si="4"/>
        <v>26.074628746665553</v>
      </c>
    </row>
    <row r="108" spans="1:5" ht="20.25" hidden="1">
      <c r="A108" s="16"/>
      <c r="B108" s="90" t="str">
        <f>районный!B114</f>
        <v>  - % по кредитам</v>
      </c>
      <c r="C108" s="136">
        <f>районный!C114</f>
        <v>0</v>
      </c>
      <c r="D108" s="136">
        <f>районный!D114</f>
        <v>0</v>
      </c>
      <c r="E108" s="41" t="e">
        <f t="shared" si="4"/>
        <v>#DIV/0!</v>
      </c>
    </row>
    <row r="109" spans="1:5" ht="18" customHeight="1">
      <c r="A109" s="16"/>
      <c r="B109" s="90" t="s">
        <v>50</v>
      </c>
      <c r="C109" s="110">
        <f>районный!C115</f>
        <v>501.2000000000007</v>
      </c>
      <c r="D109" s="110">
        <f>районный!D115</f>
        <v>216.21199999999976</v>
      </c>
      <c r="E109" s="41">
        <f t="shared" si="4"/>
        <v>43.1388667198722</v>
      </c>
    </row>
    <row r="110" spans="1:5" ht="20.25">
      <c r="A110" s="16" t="s">
        <v>145</v>
      </c>
      <c r="B110" s="83" t="s">
        <v>55</v>
      </c>
      <c r="C110" s="118">
        <f>C112+C111</f>
        <v>904.253</v>
      </c>
      <c r="D110" s="118">
        <f>D112+D111</f>
        <v>39.12</v>
      </c>
      <c r="E110" s="55">
        <f t="shared" si="4"/>
        <v>4.3262228601951</v>
      </c>
    </row>
    <row r="111" spans="1:5" ht="40.5" hidden="1">
      <c r="A111" s="16"/>
      <c r="B111" s="90" t="s">
        <v>101</v>
      </c>
      <c r="C111" s="110"/>
      <c r="D111" s="110"/>
      <c r="E111" s="55"/>
    </row>
    <row r="112" spans="1:5" ht="20.25">
      <c r="A112" s="16"/>
      <c r="B112" s="90" t="s">
        <v>50</v>
      </c>
      <c r="C112" s="110">
        <v>904.253</v>
      </c>
      <c r="D112" s="110">
        <v>39.12</v>
      </c>
      <c r="E112" s="41">
        <f aca="true" t="shared" si="5" ref="E112:E146">D112/C112*100</f>
        <v>4.3262228601951</v>
      </c>
    </row>
    <row r="113" spans="1:5" ht="18" customHeight="1">
      <c r="A113" s="16" t="s">
        <v>146</v>
      </c>
      <c r="B113" s="111" t="s">
        <v>44</v>
      </c>
      <c r="C113" s="118">
        <f>C114+C115</f>
        <v>49034.399999999994</v>
      </c>
      <c r="D113" s="118">
        <f>D114+D115</f>
        <v>11931.214</v>
      </c>
      <c r="E113" s="55">
        <f t="shared" si="5"/>
        <v>24.332334034881637</v>
      </c>
    </row>
    <row r="114" spans="1:5" ht="20.25">
      <c r="A114" s="16"/>
      <c r="B114" s="123" t="str">
        <f>районный!B120</f>
        <v>  - материальные затраты</v>
      </c>
      <c r="C114" s="137">
        <v>0.539</v>
      </c>
      <c r="D114" s="137">
        <v>0</v>
      </c>
      <c r="E114" s="55">
        <f t="shared" si="5"/>
        <v>0</v>
      </c>
    </row>
    <row r="115" spans="1:5" ht="121.5">
      <c r="A115" s="16"/>
      <c r="B115" s="123" t="str">
        <f>районный!B121</f>
        <v>  - предоставление субсидий организациям автомобильного пассажирского транспорта на возмещение недополученных доходов, возникающих в результате небольшой интенсивности пассажиропотоков по муниципальным маршрутам </v>
      </c>
      <c r="C115" s="110">
        <v>49033.861</v>
      </c>
      <c r="D115" s="110">
        <v>11931.214</v>
      </c>
      <c r="E115" s="41">
        <f t="shared" si="5"/>
        <v>24.33260150572275</v>
      </c>
    </row>
    <row r="116" spans="1:5" ht="20.25">
      <c r="A116" s="16" t="s">
        <v>147</v>
      </c>
      <c r="B116" s="111" t="s">
        <v>112</v>
      </c>
      <c r="C116" s="118">
        <f>C117+C119+C118</f>
        <v>74083.171</v>
      </c>
      <c r="D116" s="118">
        <f>D117+D119+D118</f>
        <v>5933.864</v>
      </c>
      <c r="E116" s="41">
        <f t="shared" si="5"/>
        <v>8.009732736737199</v>
      </c>
    </row>
    <row r="117" spans="1:5" ht="17.25" customHeight="1">
      <c r="A117" s="16"/>
      <c r="B117" s="90" t="s">
        <v>216</v>
      </c>
      <c r="C117" s="110">
        <v>66163.906</v>
      </c>
      <c r="D117" s="110">
        <v>5933.864</v>
      </c>
      <c r="E117" s="41">
        <f t="shared" si="5"/>
        <v>8.968430612303933</v>
      </c>
    </row>
    <row r="118" spans="1:5" ht="45" customHeight="1">
      <c r="A118" s="16"/>
      <c r="B118" s="90" t="s">
        <v>221</v>
      </c>
      <c r="C118" s="110">
        <v>5870.5</v>
      </c>
      <c r="D118" s="110">
        <v>0</v>
      </c>
      <c r="E118" s="41"/>
    </row>
    <row r="119" spans="1:5" ht="20.25">
      <c r="A119" s="16"/>
      <c r="B119" s="138" t="s">
        <v>185</v>
      </c>
      <c r="C119" s="110">
        <v>2048.765</v>
      </c>
      <c r="D119" s="110">
        <v>0</v>
      </c>
      <c r="E119" s="41">
        <f t="shared" si="5"/>
        <v>0</v>
      </c>
    </row>
    <row r="120" spans="1:5" ht="20.25">
      <c r="A120" s="16" t="s">
        <v>163</v>
      </c>
      <c r="B120" s="83" t="str">
        <f>районный!B125</f>
        <v>Связь и информатика</v>
      </c>
      <c r="C120" s="118">
        <f>C121</f>
        <v>9045.95</v>
      </c>
      <c r="D120" s="118">
        <f>D121</f>
        <v>0</v>
      </c>
      <c r="E120" s="41">
        <f t="shared" si="5"/>
        <v>0</v>
      </c>
    </row>
    <row r="121" spans="1:5" ht="40.5">
      <c r="A121" s="16"/>
      <c r="B121" s="90" t="str">
        <f>районный!B126</f>
        <v>  - материальные затраты (вышка связи д.Ермолаево)</v>
      </c>
      <c r="C121" s="110">
        <f>районный!C126</f>
        <v>9045.95</v>
      </c>
      <c r="D121" s="110">
        <f>районный!D126</f>
        <v>0</v>
      </c>
      <c r="E121" s="41">
        <f t="shared" si="5"/>
        <v>0</v>
      </c>
    </row>
    <row r="122" spans="1:5" ht="20.25">
      <c r="A122" s="16" t="s">
        <v>148</v>
      </c>
      <c r="B122" s="111" t="s">
        <v>31</v>
      </c>
      <c r="C122" s="118">
        <f>C123</f>
        <v>33031.362</v>
      </c>
      <c r="D122" s="118">
        <f>D123</f>
        <v>114.673</v>
      </c>
      <c r="E122" s="55">
        <f t="shared" si="5"/>
        <v>0.34716400734550396</v>
      </c>
    </row>
    <row r="123" spans="1:5" ht="20.25">
      <c r="A123" s="13"/>
      <c r="B123" s="114" t="s">
        <v>43</v>
      </c>
      <c r="C123" s="110">
        <v>33031.362</v>
      </c>
      <c r="D123" s="110">
        <v>114.673</v>
      </c>
      <c r="E123" s="41">
        <f t="shared" si="5"/>
        <v>0.34716400734550396</v>
      </c>
    </row>
    <row r="124" spans="1:5" ht="20.25">
      <c r="A124" s="15" t="s">
        <v>141</v>
      </c>
      <c r="B124" s="125" t="s">
        <v>24</v>
      </c>
      <c r="C124" s="109">
        <f>C126+C127+C128+C130+C125+C129</f>
        <v>121881.24499999998</v>
      </c>
      <c r="D124" s="109">
        <f>D126+D127+D128+D130+D125+D129</f>
        <v>25261.526</v>
      </c>
      <c r="E124" s="48">
        <f t="shared" si="5"/>
        <v>20.72634390959824</v>
      </c>
    </row>
    <row r="125" spans="1:5" ht="20.25">
      <c r="A125" s="17"/>
      <c r="B125" s="139" t="s">
        <v>39</v>
      </c>
      <c r="C125" s="140">
        <f>11817.344+1896.809</f>
        <v>13714.152999999998</v>
      </c>
      <c r="D125" s="140">
        <f>2167.495+853.071</f>
        <v>3020.566</v>
      </c>
      <c r="E125" s="41">
        <f t="shared" si="5"/>
        <v>22.0251735561066</v>
      </c>
    </row>
    <row r="126" spans="1:5" ht="56.25" customHeight="1">
      <c r="A126" s="13"/>
      <c r="B126" s="141" t="str">
        <f>районный!B135</f>
        <v>- меры поддержки населения в целях обеспечения доступности коммунальных услуг (выпадающие доходы)</v>
      </c>
      <c r="C126" s="137">
        <f>районный!C135</f>
        <v>37569.2</v>
      </c>
      <c r="D126" s="137">
        <f>районный!D135</f>
        <v>11120.39</v>
      </c>
      <c r="E126" s="41">
        <f t="shared" si="5"/>
        <v>29.599751924448753</v>
      </c>
    </row>
    <row r="127" spans="1:5" ht="20.25">
      <c r="A127" s="13"/>
      <c r="B127" s="142" t="s">
        <v>189</v>
      </c>
      <c r="C127" s="143">
        <f>121881.245-C125-C126-C128-C129-C130</f>
        <v>5458.148000000008</v>
      </c>
      <c r="D127" s="143">
        <f>25261.526-D125-D126-D128-D129-D130</f>
        <v>1774.1470000000027</v>
      </c>
      <c r="E127" s="41">
        <f t="shared" si="5"/>
        <v>32.504560154836405</v>
      </c>
    </row>
    <row r="128" spans="1:5" ht="60.75" customHeight="1">
      <c r="A128" s="13"/>
      <c r="B128" s="139" t="str">
        <f>районный!B140</f>
        <v>  -  выполнение противоаварийных мероприятий, направленных на предотвращение обрушения в зимнее время крыши многоквартирного дома </v>
      </c>
      <c r="C128" s="143">
        <f>районный!C140</f>
        <v>1544.947</v>
      </c>
      <c r="D128" s="143">
        <f>районный!D140</f>
        <v>0</v>
      </c>
      <c r="E128" s="41">
        <f t="shared" si="5"/>
        <v>0</v>
      </c>
    </row>
    <row r="129" spans="1:5" ht="24" customHeight="1">
      <c r="A129" s="13"/>
      <c r="B129" s="138" t="s">
        <v>185</v>
      </c>
      <c r="C129" s="143">
        <v>6988.703</v>
      </c>
      <c r="D129" s="143">
        <v>0</v>
      </c>
      <c r="E129" s="41">
        <f t="shared" si="5"/>
        <v>0</v>
      </c>
    </row>
    <row r="130" spans="1:5" ht="40.5">
      <c r="A130" s="13"/>
      <c r="B130" s="139" t="s">
        <v>222</v>
      </c>
      <c r="C130" s="144">
        <f>63594.797-C129</f>
        <v>56606.094</v>
      </c>
      <c r="D130" s="143">
        <v>9346.423</v>
      </c>
      <c r="E130" s="41">
        <f t="shared" si="5"/>
        <v>16.511337100913554</v>
      </c>
    </row>
    <row r="131" spans="1:5" ht="20.25">
      <c r="A131" s="18" t="s">
        <v>143</v>
      </c>
      <c r="B131" s="145" t="str">
        <f>районный!B142</f>
        <v>Охрана окружающей среды</v>
      </c>
      <c r="C131" s="146">
        <f>районный!C142</f>
        <v>1371.338</v>
      </c>
      <c r="D131" s="147">
        <f>районный!D142</f>
        <v>321.75</v>
      </c>
      <c r="E131" s="148">
        <f>районный!E142</f>
        <v>23.462487001745743</v>
      </c>
    </row>
    <row r="132" spans="1:5" s="4" customFormat="1" ht="40.5">
      <c r="A132" s="19" t="s">
        <v>164</v>
      </c>
      <c r="B132" s="149" t="str">
        <f>районный!B143</f>
        <v>Охрана объектов растительного и животного мира и среды их обитания</v>
      </c>
      <c r="C132" s="150">
        <f>C134+C133</f>
        <v>1071.5</v>
      </c>
      <c r="D132" s="150">
        <f>D134+D133</f>
        <v>321.75</v>
      </c>
      <c r="E132" s="151">
        <f>D132/C132*100</f>
        <v>30.027998133457768</v>
      </c>
    </row>
    <row r="133" spans="1:5" s="4" customFormat="1" ht="20.25">
      <c r="A133" s="19"/>
      <c r="B133" s="152" t="str">
        <f>районный!B144</f>
        <v>  -  оплата труда</v>
      </c>
      <c r="C133" s="153">
        <f>районный!C144</f>
        <v>95.217</v>
      </c>
      <c r="D133" s="154">
        <f>районный!D144</f>
        <v>18.203</v>
      </c>
      <c r="E133" s="155">
        <f>D133/C133*100</f>
        <v>19.117384500666898</v>
      </c>
    </row>
    <row r="134" spans="1:5" s="4" customFormat="1" ht="20.25">
      <c r="A134" s="19"/>
      <c r="B134" s="90" t="s">
        <v>50</v>
      </c>
      <c r="C134" s="153">
        <f>районный!C145</f>
        <v>976.283</v>
      </c>
      <c r="D134" s="153">
        <f>районный!D145</f>
        <v>303.547</v>
      </c>
      <c r="E134" s="155">
        <f>D134/C134*100</f>
        <v>31.092111611079986</v>
      </c>
    </row>
    <row r="135" spans="1:5" ht="36" customHeight="1">
      <c r="A135" s="16" t="s">
        <v>165</v>
      </c>
      <c r="B135" s="149" t="str">
        <f>районный!B146</f>
        <v>Другие вопросы в области охраны окружающей среды</v>
      </c>
      <c r="C135" s="156">
        <f>C136</f>
        <v>299.838</v>
      </c>
      <c r="D135" s="156">
        <f>районный!D146</f>
        <v>0</v>
      </c>
      <c r="E135" s="151">
        <f>D135/C135*100</f>
        <v>0</v>
      </c>
    </row>
    <row r="136" spans="1:5" ht="22.5" customHeight="1">
      <c r="A136" s="16"/>
      <c r="B136" s="90" t="s">
        <v>50</v>
      </c>
      <c r="C136" s="154">
        <f>районный!C146</f>
        <v>299.838</v>
      </c>
      <c r="D136" s="154">
        <f>районный!D146</f>
        <v>0</v>
      </c>
      <c r="E136" s="155">
        <f>D136/C136*100</f>
        <v>0</v>
      </c>
    </row>
    <row r="137" spans="1:5" ht="20.25">
      <c r="A137" s="15" t="s">
        <v>149</v>
      </c>
      <c r="B137" s="125" t="s">
        <v>1</v>
      </c>
      <c r="C137" s="109">
        <f>C138+C139+C141+C140</f>
        <v>1216152.717</v>
      </c>
      <c r="D137" s="109">
        <f>D138+D139+D141+D140</f>
        <v>383328.981</v>
      </c>
      <c r="E137" s="48">
        <f t="shared" si="5"/>
        <v>31.51980632379741</v>
      </c>
    </row>
    <row r="138" spans="1:5" ht="20.25">
      <c r="A138" s="13"/>
      <c r="B138" s="114" t="s">
        <v>26</v>
      </c>
      <c r="C138" s="110">
        <f>районный!C148+210.972</f>
        <v>70409.733</v>
      </c>
      <c r="D138" s="110">
        <f>районный!D148+210.972</f>
        <v>19007.83</v>
      </c>
      <c r="E138" s="41">
        <f t="shared" si="5"/>
        <v>26.996026245405595</v>
      </c>
    </row>
    <row r="139" spans="1:5" ht="20.25">
      <c r="A139" s="13"/>
      <c r="B139" s="114" t="str">
        <f>районный!B149</f>
        <v>  -прочие материальные затраты</v>
      </c>
      <c r="C139" s="157">
        <f>1216152.717-C138-C140-C141</f>
        <v>27703.05899999993</v>
      </c>
      <c r="D139" s="157">
        <f>383328.981-D138-D140-D141</f>
        <v>9603.254</v>
      </c>
      <c r="E139" s="41">
        <f t="shared" si="5"/>
        <v>34.66495884082702</v>
      </c>
    </row>
    <row r="140" spans="1:5" ht="20.25">
      <c r="A140" s="13"/>
      <c r="B140" s="114" t="str">
        <f>районный!B150</f>
        <v>  - субсидии БУ на выполнение мун.задания</v>
      </c>
      <c r="C140" s="158">
        <f>районный!C150</f>
        <v>1067160.787</v>
      </c>
      <c r="D140" s="137">
        <f>районный!D150</f>
        <v>346574.689</v>
      </c>
      <c r="E140" s="41">
        <f t="shared" si="5"/>
        <v>32.47633282837256</v>
      </c>
    </row>
    <row r="141" spans="1:5" ht="20.25">
      <c r="A141" s="13"/>
      <c r="B141" s="114" t="str">
        <f>районный!B151</f>
        <v>  - субсидии БУ на иные цели</v>
      </c>
      <c r="C141" s="159">
        <f>районный!C151</f>
        <v>50879.138</v>
      </c>
      <c r="D141" s="159">
        <f>районный!D151</f>
        <v>8143.208</v>
      </c>
      <c r="E141" s="41">
        <f t="shared" si="5"/>
        <v>16.005003858359395</v>
      </c>
    </row>
    <row r="142" spans="1:5" ht="26.25" customHeight="1">
      <c r="A142" s="15" t="s">
        <v>154</v>
      </c>
      <c r="B142" s="89" t="s">
        <v>102</v>
      </c>
      <c r="C142" s="109">
        <f>C143+C146+C144+C145</f>
        <v>206946.434</v>
      </c>
      <c r="D142" s="109">
        <f>D143+D146+D144+D145</f>
        <v>70709.433</v>
      </c>
      <c r="E142" s="48">
        <f t="shared" si="5"/>
        <v>34.167988127787694</v>
      </c>
    </row>
    <row r="143" spans="1:5" ht="21" customHeight="1">
      <c r="A143" s="16"/>
      <c r="B143" s="160" t="str">
        <f>районный!B153</f>
        <v>  -оплата труда</v>
      </c>
      <c r="C143" s="161">
        <f>районный!C153</f>
        <v>54299.848</v>
      </c>
      <c r="D143" s="161">
        <f>районный!D153</f>
        <v>14172.532</v>
      </c>
      <c r="E143" s="41">
        <f t="shared" si="5"/>
        <v>26.10050031815927</v>
      </c>
    </row>
    <row r="144" spans="1:5" ht="25.5" customHeight="1">
      <c r="A144" s="13"/>
      <c r="B144" s="160" t="str">
        <f>районный!B154</f>
        <v>  -прочие материальные затраты</v>
      </c>
      <c r="C144" s="136">
        <f>206946.434-C143-C146-C145</f>
        <v>5796.15300000002</v>
      </c>
      <c r="D144" s="136">
        <f>70709.433-D143-D146-D145</f>
        <v>1205.096000000005</v>
      </c>
      <c r="E144" s="41">
        <f t="shared" si="5"/>
        <v>20.79130761386045</v>
      </c>
    </row>
    <row r="145" spans="1:5" ht="27.75" customHeight="1">
      <c r="A145" s="13"/>
      <c r="B145" s="160" t="str">
        <f>районный!B156</f>
        <v>  - субсидии БУ на выполнение мун.задания</v>
      </c>
      <c r="C145" s="136">
        <f>районный!C156</f>
        <v>143143.305</v>
      </c>
      <c r="D145" s="136">
        <f>районный!D156</f>
        <v>55109.892</v>
      </c>
      <c r="E145" s="41">
        <f t="shared" si="5"/>
        <v>38.499804094924315</v>
      </c>
    </row>
    <row r="146" spans="1:5" ht="24.75" customHeight="1">
      <c r="A146" s="16"/>
      <c r="B146" s="160" t="str">
        <f>районный!B157</f>
        <v>  - субсидии БУ на иные цели</v>
      </c>
      <c r="C146" s="136">
        <f>районный!C157</f>
        <v>3707.128</v>
      </c>
      <c r="D146" s="136">
        <f>районный!D157</f>
        <v>221.913</v>
      </c>
      <c r="E146" s="41">
        <f t="shared" si="5"/>
        <v>5.98611647615081</v>
      </c>
    </row>
    <row r="147" spans="1:5" ht="20.25">
      <c r="A147" s="15" t="s">
        <v>167</v>
      </c>
      <c r="B147" s="125" t="s">
        <v>103</v>
      </c>
      <c r="C147" s="109">
        <f>SUM(C148+C149+C150+C151)</f>
        <v>241.029</v>
      </c>
      <c r="D147" s="109">
        <f>SUM(D148+D149+D150+D151)</f>
        <v>40</v>
      </c>
      <c r="E147" s="60">
        <f>D147/C147*100</f>
        <v>16.59551340295151</v>
      </c>
    </row>
    <row r="148" spans="1:5" ht="20.25" hidden="1">
      <c r="A148" s="16">
        <v>901</v>
      </c>
      <c r="B148" s="111" t="s">
        <v>53</v>
      </c>
      <c r="C148" s="112">
        <f>районный!C159</f>
        <v>0</v>
      </c>
      <c r="D148" s="112">
        <f>районный!D159</f>
        <v>0</v>
      </c>
      <c r="E148" s="43" t="e">
        <f aca="true" t="shared" si="6" ref="E148:E170">D148/C148*100</f>
        <v>#DIV/0!</v>
      </c>
    </row>
    <row r="149" spans="1:5" ht="20.25" hidden="1">
      <c r="A149" s="16">
        <v>902</v>
      </c>
      <c r="B149" s="111" t="s">
        <v>91</v>
      </c>
      <c r="C149" s="112">
        <f>районный!C160</f>
        <v>0</v>
      </c>
      <c r="D149" s="112">
        <f>районный!D160</f>
        <v>0</v>
      </c>
      <c r="E149" s="43" t="e">
        <f t="shared" si="6"/>
        <v>#DIV/0!</v>
      </c>
    </row>
    <row r="150" spans="1:5" ht="20.25" hidden="1">
      <c r="A150" s="16">
        <v>904</v>
      </c>
      <c r="B150" s="111" t="s">
        <v>92</v>
      </c>
      <c r="C150" s="112">
        <f>районный!C161</f>
        <v>0</v>
      </c>
      <c r="D150" s="112">
        <f>районный!D161</f>
        <v>0</v>
      </c>
      <c r="E150" s="43" t="e">
        <f t="shared" si="6"/>
        <v>#DIV/0!</v>
      </c>
    </row>
    <row r="151" spans="1:5" ht="20.25">
      <c r="A151" s="16" t="s">
        <v>155</v>
      </c>
      <c r="B151" s="122" t="s">
        <v>104</v>
      </c>
      <c r="C151" s="112">
        <f>районный!C162</f>
        <v>241.029</v>
      </c>
      <c r="D151" s="112">
        <f>районный!D162</f>
        <v>40</v>
      </c>
      <c r="E151" s="43">
        <f>D151/C151*100</f>
        <v>16.59551340295151</v>
      </c>
    </row>
    <row r="152" spans="1:5" ht="20.25">
      <c r="A152" s="16"/>
      <c r="B152" s="114" t="s">
        <v>23</v>
      </c>
      <c r="C152" s="117">
        <f>районный!C163</f>
        <v>103.101</v>
      </c>
      <c r="D152" s="117">
        <f>районный!D163</f>
        <v>0</v>
      </c>
      <c r="E152" s="46">
        <f t="shared" si="6"/>
        <v>0</v>
      </c>
    </row>
    <row r="153" spans="1:5" ht="20.25">
      <c r="A153" s="16"/>
      <c r="B153" s="114" t="str">
        <f>районный!B164</f>
        <v>  -единовремен.денежн.выплаты молодым врачам</v>
      </c>
      <c r="C153" s="117">
        <f>районный!C164</f>
        <v>137.928</v>
      </c>
      <c r="D153" s="117">
        <f>районный!D164</f>
        <v>40</v>
      </c>
      <c r="E153" s="46">
        <f t="shared" si="6"/>
        <v>29.000638014036312</v>
      </c>
    </row>
    <row r="154" spans="1:5" ht="20.25">
      <c r="A154" s="15">
        <v>10</v>
      </c>
      <c r="B154" s="125" t="s">
        <v>2</v>
      </c>
      <c r="C154" s="109">
        <f>SUM(C156+C157+C161+C155+C160)</f>
        <v>117150.146</v>
      </c>
      <c r="D154" s="109">
        <f>SUM(D156+D157+D161+D155+D160)</f>
        <v>22416.673000000003</v>
      </c>
      <c r="E154" s="48">
        <f t="shared" si="6"/>
        <v>19.134993651651108</v>
      </c>
    </row>
    <row r="155" spans="1:5" ht="20.25">
      <c r="A155" s="12">
        <v>1001</v>
      </c>
      <c r="B155" s="111" t="s">
        <v>46</v>
      </c>
      <c r="C155" s="112">
        <v>8954.841</v>
      </c>
      <c r="D155" s="112">
        <v>2898.357</v>
      </c>
      <c r="E155" s="43">
        <f t="shared" si="6"/>
        <v>32.366370324163206</v>
      </c>
    </row>
    <row r="156" spans="1:5" ht="20.25" hidden="1">
      <c r="A156" s="12">
        <v>1002</v>
      </c>
      <c r="B156" s="111" t="s">
        <v>32</v>
      </c>
      <c r="C156" s="112">
        <f>районный!C167</f>
        <v>0</v>
      </c>
      <c r="D156" s="112">
        <f>районный!D167</f>
        <v>0</v>
      </c>
      <c r="E156" s="43" t="e">
        <f t="shared" si="6"/>
        <v>#DIV/0!</v>
      </c>
    </row>
    <row r="157" spans="1:5" ht="20.25">
      <c r="A157" s="12">
        <v>1003</v>
      </c>
      <c r="B157" s="111" t="s">
        <v>33</v>
      </c>
      <c r="C157" s="112">
        <v>106353.305</v>
      </c>
      <c r="D157" s="112">
        <v>18966.734</v>
      </c>
      <c r="E157" s="43">
        <f t="shared" si="6"/>
        <v>17.833704368660666</v>
      </c>
    </row>
    <row r="158" spans="1:5" ht="1.5" customHeight="1" hidden="1">
      <c r="A158" s="13"/>
      <c r="B158" s="114"/>
      <c r="C158" s="110"/>
      <c r="D158" s="110"/>
      <c r="E158" s="43"/>
    </row>
    <row r="159" spans="1:5" ht="40.5" hidden="1">
      <c r="A159" s="13"/>
      <c r="B159" s="90" t="s">
        <v>101</v>
      </c>
      <c r="C159" s="110"/>
      <c r="D159" s="110"/>
      <c r="E159" s="43"/>
    </row>
    <row r="160" spans="1:5" ht="20.25">
      <c r="A160" s="12">
        <v>1004</v>
      </c>
      <c r="B160" s="83" t="s">
        <v>113</v>
      </c>
      <c r="C160" s="112">
        <f>районный!C171</f>
        <v>816.4</v>
      </c>
      <c r="D160" s="112">
        <f>районный!D171</f>
        <v>295.165</v>
      </c>
      <c r="E160" s="43">
        <f t="shared" si="6"/>
        <v>36.154458598726116</v>
      </c>
    </row>
    <row r="161" spans="1:5" ht="21.75" customHeight="1">
      <c r="A161" s="12">
        <v>1006</v>
      </c>
      <c r="B161" s="83" t="s">
        <v>41</v>
      </c>
      <c r="C161" s="112">
        <f>районный!C172</f>
        <v>1025.6</v>
      </c>
      <c r="D161" s="112">
        <f>районный!D172</f>
        <v>256.417</v>
      </c>
      <c r="E161" s="43">
        <f t="shared" si="6"/>
        <v>25.001657566302654</v>
      </c>
    </row>
    <row r="162" spans="1:5" ht="20.25">
      <c r="A162" s="15">
        <v>11</v>
      </c>
      <c r="B162" s="89" t="s">
        <v>28</v>
      </c>
      <c r="C162" s="109">
        <f>C163+C166</f>
        <v>53898.085999999996</v>
      </c>
      <c r="D162" s="109">
        <f>D163+D166</f>
        <v>15140.433</v>
      </c>
      <c r="E162" s="48">
        <f t="shared" si="6"/>
        <v>28.090854654838765</v>
      </c>
    </row>
    <row r="163" spans="1:5" ht="23.25" customHeight="1">
      <c r="A163" s="20" t="s">
        <v>191</v>
      </c>
      <c r="B163" s="162" t="str">
        <f>районный!B178</f>
        <v>Спорт высших достижений</v>
      </c>
      <c r="C163" s="163">
        <f>районный!C178</f>
        <v>11315.591</v>
      </c>
      <c r="D163" s="163">
        <f>районный!D178</f>
        <v>3496.1259999999997</v>
      </c>
      <c r="E163" s="41">
        <f t="shared" si="6"/>
        <v>30.896539120228006</v>
      </c>
    </row>
    <row r="164" spans="1:5" ht="20.25" hidden="1">
      <c r="A164" s="21"/>
      <c r="B164" s="164" t="s">
        <v>106</v>
      </c>
      <c r="C164" s="165"/>
      <c r="D164" s="165"/>
      <c r="E164" s="41" t="e">
        <f t="shared" si="6"/>
        <v>#DIV/0!</v>
      </c>
    </row>
    <row r="165" spans="1:5" ht="40.5" hidden="1">
      <c r="A165" s="21"/>
      <c r="B165" s="90" t="s">
        <v>101</v>
      </c>
      <c r="C165" s="165"/>
      <c r="D165" s="165">
        <v>0</v>
      </c>
      <c r="E165" s="41" t="e">
        <f t="shared" si="6"/>
        <v>#DIV/0!</v>
      </c>
    </row>
    <row r="166" spans="1:5" ht="18" customHeight="1">
      <c r="A166" s="20">
        <v>1102</v>
      </c>
      <c r="B166" s="162" t="s">
        <v>107</v>
      </c>
      <c r="C166" s="163">
        <f>районный!C174</f>
        <v>42582.494999999995</v>
      </c>
      <c r="D166" s="163">
        <f>районный!D174</f>
        <v>11644.307</v>
      </c>
      <c r="E166" s="41">
        <f t="shared" si="6"/>
        <v>27.34529059417491</v>
      </c>
    </row>
    <row r="167" spans="1:5" ht="20.25">
      <c r="A167" s="15">
        <v>13</v>
      </c>
      <c r="B167" s="89" t="s">
        <v>108</v>
      </c>
      <c r="C167" s="109">
        <f>C168</f>
        <v>3.288</v>
      </c>
      <c r="D167" s="109">
        <f>D168</f>
        <v>2.706</v>
      </c>
      <c r="E167" s="48">
        <f t="shared" si="6"/>
        <v>82.2992700729927</v>
      </c>
    </row>
    <row r="168" spans="1:5" ht="40.5">
      <c r="A168" s="20">
        <v>1301</v>
      </c>
      <c r="B168" s="162" t="s">
        <v>109</v>
      </c>
      <c r="C168" s="163">
        <f>районный!C182</f>
        <v>3.288</v>
      </c>
      <c r="D168" s="163">
        <f>районный!D182</f>
        <v>2.706</v>
      </c>
      <c r="E168" s="41">
        <f t="shared" si="6"/>
        <v>82.2992700729927</v>
      </c>
    </row>
    <row r="169" spans="1:5" ht="20.25">
      <c r="A169" s="15">
        <v>14</v>
      </c>
      <c r="B169" s="89" t="s">
        <v>110</v>
      </c>
      <c r="C169" s="166">
        <v>0</v>
      </c>
      <c r="D169" s="166">
        <v>0</v>
      </c>
      <c r="E169" s="65"/>
    </row>
    <row r="170" spans="1:5" ht="20.25">
      <c r="A170" s="22"/>
      <c r="B170" s="167" t="s">
        <v>25</v>
      </c>
      <c r="C170" s="168">
        <f>C70+C94+C105+C124+C137+C142+C147+C154+C162+C167+C169+C92+C131</f>
        <v>2115034.488</v>
      </c>
      <c r="D170" s="168">
        <f>D70+D94+D105+D124+D137+D142+D147+D154+D162+D167+D169+D92+D131</f>
        <v>598276.7584299999</v>
      </c>
      <c r="E170" s="67">
        <f t="shared" si="6"/>
        <v>28.28685592714552</v>
      </c>
    </row>
    <row r="171" spans="1:5" ht="20.25">
      <c r="A171" s="186" t="s">
        <v>132</v>
      </c>
      <c r="B171" s="186"/>
      <c r="C171" s="169">
        <f>C67-C170</f>
        <v>-21133.8854400001</v>
      </c>
      <c r="D171" s="169">
        <f>D67-D170</f>
        <v>55029.32036000001</v>
      </c>
      <c r="E171" s="69"/>
    </row>
    <row r="172" spans="1:5" ht="40.5">
      <c r="A172" s="23"/>
      <c r="B172" s="103" t="s">
        <v>97</v>
      </c>
      <c r="C172" s="170">
        <f>C173+C176</f>
        <v>21133.885440000333</v>
      </c>
      <c r="D172" s="170">
        <f>D173+D176</f>
        <v>-55029.32036000001</v>
      </c>
      <c r="E172" s="71"/>
    </row>
    <row r="173" spans="1:5" ht="20.25">
      <c r="A173" s="24"/>
      <c r="B173" s="171" t="s">
        <v>195</v>
      </c>
      <c r="C173" s="170">
        <f>C175+C174</f>
        <v>21133.885440000333</v>
      </c>
      <c r="D173" s="170">
        <f>D175+D174</f>
        <v>-40029.32036000001</v>
      </c>
      <c r="E173" s="72"/>
    </row>
    <row r="174" spans="1:5" ht="20.25">
      <c r="A174" s="24"/>
      <c r="B174" s="172" t="s">
        <v>94</v>
      </c>
      <c r="C174" s="173">
        <f>-C67-C178-C181</f>
        <v>-2111900.6025599996</v>
      </c>
      <c r="D174" s="173">
        <f>-D67-D178-D181</f>
        <v>-653306.0787899999</v>
      </c>
      <c r="E174" s="72"/>
    </row>
    <row r="175" spans="1:5" ht="20.25">
      <c r="A175" s="25"/>
      <c r="B175" s="172" t="s">
        <v>95</v>
      </c>
      <c r="C175" s="173">
        <f>C170-C179-C182</f>
        <v>2133034.488</v>
      </c>
      <c r="D175" s="173">
        <f>D170-D179-D182</f>
        <v>613276.7584299999</v>
      </c>
      <c r="E175" s="72"/>
    </row>
    <row r="176" spans="1:5" ht="20.25">
      <c r="A176" s="25"/>
      <c r="B176" s="171" t="s">
        <v>98</v>
      </c>
      <c r="C176" s="170">
        <f>C178+C179+C181+C182</f>
        <v>0</v>
      </c>
      <c r="D176" s="170">
        <f>D178+D179+D181+D182</f>
        <v>-15000</v>
      </c>
      <c r="E176" s="72"/>
    </row>
    <row r="177" spans="1:5" ht="20.25" hidden="1">
      <c r="A177" s="25"/>
      <c r="B177" s="172" t="s">
        <v>111</v>
      </c>
      <c r="C177" s="173"/>
      <c r="D177" s="173">
        <v>0</v>
      </c>
      <c r="E177" s="72"/>
    </row>
    <row r="178" spans="1:5" ht="60.75">
      <c r="A178" s="25"/>
      <c r="B178" s="105" t="s">
        <v>100</v>
      </c>
      <c r="C178" s="173">
        <f>районный!C191</f>
        <v>15000</v>
      </c>
      <c r="D178" s="173">
        <f>районный!D191</f>
        <v>0</v>
      </c>
      <c r="E178" s="74"/>
    </row>
    <row r="179" spans="1:5" ht="53.25" customHeight="1">
      <c r="A179" s="25"/>
      <c r="B179" s="105" t="s">
        <v>56</v>
      </c>
      <c r="C179" s="173">
        <f>районный!C192</f>
        <v>-15000</v>
      </c>
      <c r="D179" s="173">
        <f>районный!D192</f>
        <v>-15000</v>
      </c>
      <c r="E179" s="74"/>
    </row>
    <row r="180" spans="1:5" ht="60.75" hidden="1">
      <c r="A180" s="25"/>
      <c r="B180" s="106" t="s">
        <v>57</v>
      </c>
      <c r="C180" s="173"/>
      <c r="D180" s="173"/>
      <c r="E180" s="74"/>
    </row>
    <row r="181" spans="1:5" ht="40.5">
      <c r="A181" s="25"/>
      <c r="B181" s="106" t="s">
        <v>58</v>
      </c>
      <c r="C181" s="173">
        <v>3000</v>
      </c>
      <c r="D181" s="173">
        <v>0</v>
      </c>
      <c r="E181" s="74"/>
    </row>
    <row r="182" spans="1:5" ht="40.5">
      <c r="A182" s="25"/>
      <c r="B182" s="106" t="s">
        <v>96</v>
      </c>
      <c r="C182" s="173">
        <v>-3000</v>
      </c>
      <c r="D182" s="173">
        <v>0</v>
      </c>
      <c r="E182" s="74"/>
    </row>
    <row r="183" spans="3:4" ht="20.25">
      <c r="C183" s="175"/>
      <c r="D183" s="175"/>
    </row>
    <row r="184" spans="3:4" ht="20.25">
      <c r="C184" s="175"/>
      <c r="D184" s="175"/>
    </row>
    <row r="185" spans="3:4" ht="20.25">
      <c r="C185" s="175"/>
      <c r="D185" s="175"/>
    </row>
    <row r="186" spans="3:4" ht="20.25">
      <c r="C186" s="175"/>
      <c r="D186" s="175"/>
    </row>
    <row r="187" spans="3:4" ht="20.25">
      <c r="C187" s="175"/>
      <c r="D187" s="175"/>
    </row>
    <row r="188" spans="3:4" ht="20.25">
      <c r="C188" s="175"/>
      <c r="D188" s="175"/>
    </row>
    <row r="189" spans="3:4" ht="20.25">
      <c r="C189" s="175"/>
      <c r="D189" s="175"/>
    </row>
    <row r="190" spans="3:4" ht="20.25">
      <c r="C190" s="175"/>
      <c r="D190" s="175"/>
    </row>
    <row r="191" spans="3:4" ht="20.25">
      <c r="C191" s="175"/>
      <c r="D191" s="175"/>
    </row>
    <row r="192" spans="3:4" ht="20.25">
      <c r="C192" s="175"/>
      <c r="D192" s="175"/>
    </row>
    <row r="193" spans="3:4" ht="20.25">
      <c r="C193" s="175"/>
      <c r="D193" s="175"/>
    </row>
    <row r="194" spans="3:4" ht="20.25">
      <c r="C194" s="175"/>
      <c r="D194" s="175"/>
    </row>
    <row r="195" spans="3:4" ht="20.25">
      <c r="C195" s="175"/>
      <c r="D195" s="175"/>
    </row>
    <row r="196" spans="3:4" ht="20.25">
      <c r="C196" s="175"/>
      <c r="D196" s="175"/>
    </row>
    <row r="197" spans="3:4" ht="20.25">
      <c r="C197" s="175"/>
      <c r="D197" s="175"/>
    </row>
    <row r="198" spans="3:4" ht="20.25">
      <c r="C198" s="175"/>
      <c r="D198" s="175"/>
    </row>
    <row r="199" spans="3:4" ht="20.25">
      <c r="C199" s="175"/>
      <c r="D199" s="175"/>
    </row>
    <row r="200" spans="3:4" ht="20.25">
      <c r="C200" s="175"/>
      <c r="D200" s="175"/>
    </row>
    <row r="201" spans="3:4" ht="20.25">
      <c r="C201" s="175"/>
      <c r="D201" s="175"/>
    </row>
    <row r="202" spans="3:4" ht="20.25">
      <c r="C202" s="175"/>
      <c r="D202" s="175"/>
    </row>
    <row r="203" spans="3:4" ht="20.25">
      <c r="C203" s="175"/>
      <c r="D203" s="175"/>
    </row>
    <row r="204" spans="3:4" ht="20.25">
      <c r="C204" s="175"/>
      <c r="D204" s="175"/>
    </row>
    <row r="205" spans="3:4" ht="20.25">
      <c r="C205" s="175"/>
      <c r="D205" s="175"/>
    </row>
    <row r="206" spans="3:4" ht="20.25">
      <c r="C206" s="175"/>
      <c r="D206" s="175"/>
    </row>
    <row r="207" spans="3:4" ht="20.25">
      <c r="C207" s="175"/>
      <c r="D207" s="175"/>
    </row>
    <row r="208" spans="3:4" ht="20.25">
      <c r="C208" s="175"/>
      <c r="D208" s="175"/>
    </row>
    <row r="209" spans="3:4" ht="20.25">
      <c r="C209" s="175"/>
      <c r="D209" s="175"/>
    </row>
    <row r="210" spans="3:4" ht="20.25">
      <c r="C210" s="175"/>
      <c r="D210" s="175"/>
    </row>
    <row r="211" spans="3:4" ht="20.25">
      <c r="C211" s="175"/>
      <c r="D211" s="175"/>
    </row>
    <row r="212" spans="3:4" ht="20.25">
      <c r="C212" s="175"/>
      <c r="D212" s="175"/>
    </row>
    <row r="213" spans="3:4" ht="20.25">
      <c r="C213" s="175"/>
      <c r="D213" s="175"/>
    </row>
    <row r="214" spans="3:4" ht="20.25">
      <c r="C214" s="175"/>
      <c r="D214" s="175"/>
    </row>
    <row r="215" spans="3:4" ht="20.25">
      <c r="C215" s="175"/>
      <c r="D215" s="175"/>
    </row>
  </sheetData>
  <sheetProtection/>
  <mergeCells count="6">
    <mergeCell ref="A171:B171"/>
    <mergeCell ref="A69:E69"/>
    <mergeCell ref="A1:E1"/>
    <mergeCell ref="A2:E2"/>
    <mergeCell ref="A3:B3"/>
    <mergeCell ref="A4:E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</dc:creator>
  <cp:keywords/>
  <dc:description/>
  <cp:lastModifiedBy>Чуева Татьяна Александровна</cp:lastModifiedBy>
  <cp:lastPrinted>2016-01-26T07:13:01Z</cp:lastPrinted>
  <dcterms:created xsi:type="dcterms:W3CDTF">2002-02-14T07:43:08Z</dcterms:created>
  <dcterms:modified xsi:type="dcterms:W3CDTF">2024-05-08T03:58:01Z</dcterms:modified>
  <cp:category/>
  <cp:version/>
  <cp:contentType/>
  <cp:contentStatus/>
</cp:coreProperties>
</file>