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1\"/>
    </mc:Choice>
  </mc:AlternateContent>
  <bookViews>
    <workbookView xWindow="240" yWindow="450" windowWidth="8415" windowHeight="6390"/>
  </bookViews>
  <sheets>
    <sheet name="8 показатели " sheetId="1" r:id="rId1"/>
    <sheet name="9 средства по кодам" sheetId="13" r:id="rId2"/>
    <sheet name="10 средства бюджет" sheetId="12" r:id="rId3"/>
    <sheet name="11 Инвестиц П" sheetId="6" r:id="rId4"/>
  </sheets>
  <definedNames>
    <definedName name="_xlnm._FilterDatabase" localSheetId="1" hidden="1">'9 средства по кодам'!$A$4:$V$214</definedName>
    <definedName name="_xlnm.Print_Area" localSheetId="2">'10 средства бюджет'!$A$2:$P$55</definedName>
    <definedName name="_xlnm.Print_Area" localSheetId="3">'11 Инвестиц П'!$A$1:$P$27</definedName>
    <definedName name="_xlnm.Print_Area" localSheetId="0">'8 показатели '!$A$1:$R$39</definedName>
    <definedName name="_xlnm.Print_Area" localSheetId="1">'9 средства по кодам'!$A$1:$T$222</definedName>
  </definedNames>
  <calcPr calcId="162913"/>
</workbook>
</file>

<file path=xl/calcChain.xml><?xml version="1.0" encoding="utf-8"?>
<calcChain xmlns="http://schemas.openxmlformats.org/spreadsheetml/2006/main">
  <c r="V214" i="13" l="1"/>
  <c r="V212" i="13"/>
  <c r="V211" i="13"/>
  <c r="V210" i="13"/>
  <c r="V209" i="13"/>
  <c r="V208" i="13"/>
  <c r="V207" i="13"/>
  <c r="V206" i="13"/>
  <c r="V205" i="13"/>
  <c r="V204" i="13"/>
  <c r="V203" i="13"/>
  <c r="V202" i="13"/>
  <c r="V201" i="13"/>
  <c r="V200" i="13"/>
  <c r="V199" i="13"/>
  <c r="V198" i="13"/>
  <c r="V197" i="13"/>
  <c r="V196" i="13"/>
  <c r="V195" i="13"/>
  <c r="V194" i="13"/>
  <c r="V193" i="13"/>
  <c r="V192" i="13"/>
  <c r="V191" i="13"/>
  <c r="V190" i="13"/>
  <c r="V189" i="13"/>
  <c r="V188" i="13"/>
  <c r="V187" i="13"/>
  <c r="V186" i="13"/>
  <c r="V185" i="13"/>
  <c r="V184" i="13"/>
  <c r="V183" i="13"/>
  <c r="V182" i="13"/>
  <c r="V181" i="13"/>
  <c r="V180" i="13"/>
  <c r="V179" i="13"/>
  <c r="V178" i="13"/>
  <c r="V177" i="13"/>
  <c r="V176" i="13"/>
  <c r="V175" i="13"/>
  <c r="V174" i="13"/>
  <c r="V173" i="13"/>
  <c r="V172" i="13"/>
  <c r="V171" i="13"/>
  <c r="V170" i="13"/>
  <c r="V169" i="13"/>
  <c r="V168" i="13"/>
  <c r="V167" i="13"/>
  <c r="V166" i="13"/>
  <c r="V165" i="13"/>
  <c r="V162" i="13"/>
  <c r="V161" i="13"/>
  <c r="V160" i="13"/>
  <c r="V159" i="13"/>
  <c r="V158" i="13"/>
  <c r="V157" i="13"/>
  <c r="V155" i="13"/>
  <c r="V154" i="13"/>
  <c r="V153" i="13"/>
  <c r="V152" i="13"/>
  <c r="V151" i="13"/>
  <c r="V149" i="13"/>
  <c r="V148" i="13"/>
  <c r="V147" i="13"/>
  <c r="V146" i="13"/>
  <c r="V145" i="13"/>
  <c r="V144" i="13"/>
  <c r="V143" i="13"/>
  <c r="V142" i="13"/>
  <c r="V141" i="13"/>
  <c r="V140" i="13"/>
  <c r="V139" i="13"/>
  <c r="V138" i="13"/>
  <c r="V137" i="13"/>
  <c r="V136" i="13"/>
  <c r="V135" i="13"/>
  <c r="V134" i="13"/>
  <c r="V133" i="13"/>
  <c r="V132" i="13"/>
  <c r="V131" i="13"/>
  <c r="V130" i="13"/>
  <c r="V129" i="13"/>
  <c r="V128" i="13"/>
  <c r="V127" i="13"/>
  <c r="V125" i="13"/>
  <c r="V124" i="13"/>
  <c r="V123" i="13"/>
  <c r="V121" i="13"/>
  <c r="V120" i="13"/>
  <c r="V119" i="13"/>
  <c r="V118" i="13"/>
  <c r="V117" i="13"/>
  <c r="V116" i="13"/>
  <c r="V115" i="13"/>
  <c r="V114" i="13"/>
  <c r="V113" i="13"/>
  <c r="V112" i="13"/>
  <c r="V111" i="13"/>
  <c r="V110" i="13"/>
  <c r="V109" i="13"/>
  <c r="V108" i="13"/>
  <c r="V107" i="13"/>
  <c r="V106" i="13"/>
  <c r="V105" i="13"/>
  <c r="V104" i="13"/>
  <c r="V103" i="13"/>
  <c r="V102" i="13"/>
  <c r="V101" i="13"/>
  <c r="V99" i="13"/>
  <c r="V98" i="13"/>
  <c r="V97" i="13"/>
  <c r="V96" i="13"/>
  <c r="V95" i="13"/>
  <c r="V94" i="13"/>
  <c r="V93" i="13"/>
  <c r="V92" i="13"/>
  <c r="V91" i="13"/>
  <c r="V90" i="13"/>
  <c r="V89" i="13"/>
  <c r="V88" i="13"/>
  <c r="V87" i="13"/>
  <c r="V86" i="13"/>
  <c r="V85" i="13"/>
  <c r="V84" i="13"/>
  <c r="V83" i="13"/>
  <c r="V82" i="13"/>
  <c r="V81" i="13"/>
  <c r="V80" i="13"/>
  <c r="V79" i="13"/>
  <c r="V78" i="13"/>
  <c r="V77" i="13"/>
  <c r="V76" i="13"/>
  <c r="V75" i="13"/>
  <c r="V74" i="13"/>
  <c r="V73" i="13"/>
  <c r="V72" i="13"/>
  <c r="V71" i="13"/>
  <c r="V70" i="13"/>
  <c r="V6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6" i="13"/>
  <c r="V15" i="13"/>
  <c r="V13" i="13"/>
  <c r="V11" i="13"/>
  <c r="M27" i="12"/>
  <c r="L27" i="12"/>
  <c r="L28" i="12" s="1"/>
  <c r="K27" i="12"/>
  <c r="K28" i="12" s="1"/>
  <c r="J27" i="12"/>
  <c r="I27" i="12"/>
  <c r="I28" i="12" s="1"/>
  <c r="H27" i="12"/>
  <c r="G27" i="12"/>
  <c r="F27" i="12"/>
  <c r="M28" i="12"/>
  <c r="J28" i="12"/>
  <c r="H28" i="12"/>
  <c r="G28" i="12"/>
  <c r="F28" i="12"/>
  <c r="M35" i="12"/>
  <c r="L35" i="12"/>
  <c r="K35" i="12"/>
  <c r="J35" i="12"/>
  <c r="M36" i="12"/>
  <c r="L36" i="12"/>
  <c r="K36" i="12"/>
  <c r="J36" i="12"/>
  <c r="I36" i="12"/>
  <c r="H36" i="12"/>
  <c r="I35" i="12"/>
  <c r="H35" i="12"/>
  <c r="G36" i="12"/>
  <c r="F36" i="12"/>
  <c r="G35" i="12"/>
  <c r="F35" i="12"/>
  <c r="N18" i="13"/>
  <c r="J18" i="13"/>
  <c r="Q18" i="13"/>
  <c r="V18" i="13" s="1"/>
  <c r="O18" i="13"/>
  <c r="L18" i="13"/>
  <c r="K18" i="13"/>
  <c r="P213" i="13"/>
  <c r="Q213" i="13"/>
  <c r="V213" i="13" s="1"/>
  <c r="U210" i="13"/>
  <c r="U209" i="13"/>
  <c r="U208" i="13"/>
  <c r="U207" i="13"/>
  <c r="U206" i="13"/>
  <c r="U205" i="13"/>
  <c r="U204" i="13"/>
  <c r="U203" i="13"/>
  <c r="U202" i="13"/>
  <c r="U201" i="13"/>
  <c r="U200" i="13"/>
  <c r="N213" i="13"/>
  <c r="K213" i="13"/>
  <c r="H213" i="13"/>
  <c r="J213" i="13"/>
  <c r="U175" i="13"/>
  <c r="U108" i="13"/>
  <c r="U107" i="13"/>
  <c r="U106" i="13"/>
  <c r="U52" i="13"/>
  <c r="U51" i="13"/>
  <c r="U21" i="13"/>
  <c r="U20" i="13"/>
  <c r="R36" i="12"/>
  <c r="J32" i="12"/>
  <c r="F32" i="12"/>
  <c r="H32" i="12"/>
  <c r="I32" i="12"/>
  <c r="J12" i="12"/>
  <c r="N100" i="13"/>
  <c r="N17" i="13" s="1"/>
  <c r="N14" i="13" s="1"/>
  <c r="N12" i="13" s="1"/>
  <c r="N10" i="13" s="1"/>
  <c r="U188" i="13"/>
  <c r="O36" i="12"/>
  <c r="O12" i="12" s="1"/>
  <c r="N36" i="12"/>
  <c r="O35" i="12"/>
  <c r="O32" i="12" s="1"/>
  <c r="N35" i="12"/>
  <c r="E36" i="12"/>
  <c r="D36" i="12"/>
  <c r="E35" i="12"/>
  <c r="D35" i="12"/>
  <c r="E32" i="12"/>
  <c r="D32" i="12"/>
  <c r="E28" i="12"/>
  <c r="D28" i="12"/>
  <c r="E27" i="12"/>
  <c r="D27" i="12"/>
  <c r="E24" i="12"/>
  <c r="D24" i="12"/>
  <c r="U187" i="13"/>
  <c r="U64" i="13"/>
  <c r="U63" i="13"/>
  <c r="U65" i="13"/>
  <c r="U109" i="13"/>
  <c r="M122" i="13"/>
  <c r="O122" i="13"/>
  <c r="O17" i="13" s="1"/>
  <c r="O14" i="13" s="1"/>
  <c r="O12" i="13" s="1"/>
  <c r="O10" i="13" s="1"/>
  <c r="P122" i="13"/>
  <c r="Q122" i="13"/>
  <c r="V122" i="13" s="1"/>
  <c r="J45" i="13"/>
  <c r="U22" i="13"/>
  <c r="R184" i="13"/>
  <c r="S137" i="13"/>
  <c r="R137" i="13"/>
  <c r="I171" i="13"/>
  <c r="H171" i="13"/>
  <c r="I166" i="13"/>
  <c r="I164" i="13" s="1"/>
  <c r="I136" i="13"/>
  <c r="I150" i="13" s="1"/>
  <c r="I47" i="13"/>
  <c r="I100" i="13" s="1"/>
  <c r="I24" i="13"/>
  <c r="I18" i="13"/>
  <c r="H18" i="13"/>
  <c r="M11" i="12"/>
  <c r="M12" i="12"/>
  <c r="M10" i="12"/>
  <c r="M8" i="12" s="1"/>
  <c r="G32" i="12"/>
  <c r="U47" i="13"/>
  <c r="L45" i="13"/>
  <c r="L14" i="13" s="1"/>
  <c r="L12" i="13" s="1"/>
  <c r="L10" i="13" s="1"/>
  <c r="N45" i="13"/>
  <c r="P45" i="13"/>
  <c r="P17" i="13" s="1"/>
  <c r="P14" i="13" s="1"/>
  <c r="P12" i="13" s="1"/>
  <c r="P10" i="13" s="1"/>
  <c r="O45" i="13"/>
  <c r="L32" i="12"/>
  <c r="H11" i="12"/>
  <c r="U75" i="13"/>
  <c r="J150" i="13"/>
  <c r="K150" i="13"/>
  <c r="M150" i="13"/>
  <c r="O150" i="13"/>
  <c r="Q150" i="13"/>
  <c r="V150" i="13" s="1"/>
  <c r="R150" i="13"/>
  <c r="H150" i="13"/>
  <c r="E12" i="12"/>
  <c r="S165" i="13"/>
  <c r="S192" i="13"/>
  <c r="S193" i="13"/>
  <c r="S194" i="13"/>
  <c r="S195" i="13"/>
  <c r="S196" i="13"/>
  <c r="S197" i="13"/>
  <c r="S198" i="13"/>
  <c r="S138" i="13"/>
  <c r="S139" i="13"/>
  <c r="S140" i="13"/>
  <c r="S141" i="13"/>
  <c r="S142" i="13"/>
  <c r="S143" i="13"/>
  <c r="S144" i="13"/>
  <c r="S145" i="13"/>
  <c r="S148" i="13"/>
  <c r="S149" i="13"/>
  <c r="S125" i="13"/>
  <c r="S126" i="13"/>
  <c r="S120" i="13"/>
  <c r="S121" i="13"/>
  <c r="S122" i="13" s="1"/>
  <c r="S102" i="13"/>
  <c r="S86" i="13"/>
  <c r="S100" i="13" s="1"/>
  <c r="S87" i="13"/>
  <c r="S88" i="13"/>
  <c r="S89" i="13"/>
  <c r="S90" i="13"/>
  <c r="S40" i="13"/>
  <c r="S41" i="13"/>
  <c r="S45" i="13" s="1"/>
  <c r="S17" i="13" s="1"/>
  <c r="S14" i="13" s="1"/>
  <c r="S42" i="13"/>
  <c r="P150" i="13"/>
  <c r="N150" i="13"/>
  <c r="L150" i="13"/>
  <c r="U74" i="13"/>
  <c r="U33" i="13"/>
  <c r="H100" i="13"/>
  <c r="H17" i="13" s="1"/>
  <c r="H14" i="13" s="1"/>
  <c r="H12" i="13" s="1"/>
  <c r="H10" i="13" s="1"/>
  <c r="R9" i="12"/>
  <c r="R17" i="12"/>
  <c r="R18" i="12"/>
  <c r="R19" i="12"/>
  <c r="R20" i="12"/>
  <c r="R21" i="12"/>
  <c r="R22" i="12"/>
  <c r="R23" i="12"/>
  <c r="R25" i="12"/>
  <c r="R26" i="12"/>
  <c r="R27" i="12"/>
  <c r="R29" i="12"/>
  <c r="R30" i="12"/>
  <c r="R31" i="12"/>
  <c r="R33" i="12"/>
  <c r="R34" i="12"/>
  <c r="R35" i="12"/>
  <c r="U199" i="13"/>
  <c r="U70" i="13"/>
  <c r="U40" i="13"/>
  <c r="F11" i="12"/>
  <c r="G12" i="12"/>
  <c r="G8" i="12" s="1"/>
  <c r="I11" i="12"/>
  <c r="O213" i="13"/>
  <c r="U68" i="13"/>
  <c r="L122" i="13"/>
  <c r="J122" i="13"/>
  <c r="L213" i="13"/>
  <c r="M213" i="13"/>
  <c r="P126" i="13"/>
  <c r="N122" i="13"/>
  <c r="U183" i="13"/>
  <c r="U174" i="13"/>
  <c r="K122" i="13"/>
  <c r="R122" i="13"/>
  <c r="K100" i="13"/>
  <c r="L100" i="13"/>
  <c r="M100" i="13"/>
  <c r="M14" i="13" s="1"/>
  <c r="M12" i="13" s="1"/>
  <c r="M10" i="13" s="1"/>
  <c r="O100" i="13"/>
  <c r="P100" i="13"/>
  <c r="Q100" i="13"/>
  <c r="V100" i="13" s="1"/>
  <c r="R100" i="13"/>
  <c r="R17" i="13" s="1"/>
  <c r="R14" i="13" s="1"/>
  <c r="R12" i="13" s="1"/>
  <c r="R10" i="13" s="1"/>
  <c r="J100" i="13"/>
  <c r="K126" i="13"/>
  <c r="U114" i="13"/>
  <c r="U105" i="13"/>
  <c r="U103" i="13"/>
  <c r="U25" i="13"/>
  <c r="H126" i="13"/>
  <c r="H122" i="13"/>
  <c r="H164" i="13"/>
  <c r="I163" i="13"/>
  <c r="H163" i="13"/>
  <c r="I156" i="13"/>
  <c r="H156" i="13"/>
  <c r="I126" i="13"/>
  <c r="I122" i="13"/>
  <c r="H45" i="13"/>
  <c r="K45" i="13"/>
  <c r="K17" i="13" s="1"/>
  <c r="K14" i="13" s="1"/>
  <c r="K12" i="13" s="1"/>
  <c r="K10" i="13" s="1"/>
  <c r="L11" i="12"/>
  <c r="U69" i="13"/>
  <c r="N32" i="12"/>
  <c r="O24" i="12"/>
  <c r="N24" i="12"/>
  <c r="O16" i="12"/>
  <c r="N16" i="12"/>
  <c r="O15" i="12"/>
  <c r="N15" i="12"/>
  <c r="O14" i="12"/>
  <c r="N14" i="12"/>
  <c r="O13" i="12"/>
  <c r="N13" i="12"/>
  <c r="N12" i="12"/>
  <c r="N11" i="12"/>
  <c r="O10" i="12"/>
  <c r="N10" i="12"/>
  <c r="N8" i="12"/>
  <c r="R213" i="13"/>
  <c r="R164" i="13"/>
  <c r="S164" i="13" s="1"/>
  <c r="S163" i="13"/>
  <c r="R163" i="13"/>
  <c r="S156" i="13"/>
  <c r="R156" i="13"/>
  <c r="R126" i="13"/>
  <c r="R45" i="13"/>
  <c r="F10" i="12"/>
  <c r="G10" i="12"/>
  <c r="H10" i="12"/>
  <c r="H8" i="12" s="1"/>
  <c r="I10" i="12"/>
  <c r="J10" i="12"/>
  <c r="K10" i="12"/>
  <c r="L10" i="12"/>
  <c r="R10" i="12" s="1"/>
  <c r="J11" i="12"/>
  <c r="K11" i="12"/>
  <c r="U170" i="13"/>
  <c r="U182" i="13"/>
  <c r="U179" i="13"/>
  <c r="U34" i="13"/>
  <c r="U55" i="13"/>
  <c r="U54" i="13"/>
  <c r="U168" i="13"/>
  <c r="E10" i="12"/>
  <c r="D11" i="12"/>
  <c r="D16" i="12"/>
  <c r="E16" i="12"/>
  <c r="E15" i="12"/>
  <c r="D15" i="12"/>
  <c r="E14" i="12"/>
  <c r="D14" i="12"/>
  <c r="E13" i="12"/>
  <c r="D13" i="12"/>
  <c r="D12" i="12"/>
  <c r="E11" i="12"/>
  <c r="E8" i="12" s="1"/>
  <c r="D10" i="12"/>
  <c r="L126" i="13"/>
  <c r="M126" i="13"/>
  <c r="N126" i="13"/>
  <c r="O126" i="13"/>
  <c r="Q126" i="13"/>
  <c r="V126" i="13" s="1"/>
  <c r="J126" i="13"/>
  <c r="J17" i="13" s="1"/>
  <c r="J14" i="13" s="1"/>
  <c r="J12" i="13" s="1"/>
  <c r="J10" i="13" s="1"/>
  <c r="M45" i="13"/>
  <c r="Q45" i="13"/>
  <c r="V45" i="13" s="1"/>
  <c r="K163" i="13"/>
  <c r="L163" i="13"/>
  <c r="M163" i="13"/>
  <c r="N163" i="13"/>
  <c r="O163" i="13"/>
  <c r="P163" i="13"/>
  <c r="J163" i="13"/>
  <c r="U39" i="13"/>
  <c r="U71" i="13"/>
  <c r="U176" i="13"/>
  <c r="U184" i="13"/>
  <c r="U115" i="13"/>
  <c r="U53" i="13"/>
  <c r="Q163" i="13"/>
  <c r="V163" i="13" s="1"/>
  <c r="U72" i="13"/>
  <c r="U178" i="13"/>
  <c r="U173" i="13"/>
  <c r="U169" i="13"/>
  <c r="U161" i="13"/>
  <c r="U62" i="13"/>
  <c r="U60" i="13"/>
  <c r="U24" i="13"/>
  <c r="U18" i="13"/>
  <c r="U38" i="13"/>
  <c r="U37" i="13"/>
  <c r="U36" i="13"/>
  <c r="K164" i="13"/>
  <c r="M164" i="13"/>
  <c r="O164" i="13"/>
  <c r="Q164" i="13"/>
  <c r="V164" i="13" s="1"/>
  <c r="J164" i="13"/>
  <c r="K156" i="13"/>
  <c r="L156" i="13"/>
  <c r="M156" i="13"/>
  <c r="N156" i="13"/>
  <c r="O156" i="13"/>
  <c r="P156" i="13"/>
  <c r="Q156" i="13"/>
  <c r="V156" i="13" s="1"/>
  <c r="J156" i="13"/>
  <c r="U171" i="13"/>
  <c r="U172" i="13"/>
  <c r="U180" i="13"/>
  <c r="U181" i="13"/>
  <c r="U211" i="13"/>
  <c r="U166" i="13"/>
  <c r="U159" i="13"/>
  <c r="U160" i="13"/>
  <c r="U162" i="13"/>
  <c r="U158" i="13"/>
  <c r="U104" i="13"/>
  <c r="U113" i="13"/>
  <c r="U121" i="13"/>
  <c r="U102" i="13"/>
  <c r="U48" i="13"/>
  <c r="U49" i="13"/>
  <c r="U50" i="13"/>
  <c r="U56" i="13"/>
  <c r="U57" i="13"/>
  <c r="U58" i="13"/>
  <c r="U59" i="13"/>
  <c r="U61" i="13"/>
  <c r="U66" i="13"/>
  <c r="U67" i="13"/>
  <c r="U73" i="13"/>
  <c r="U19" i="13"/>
  <c r="U23" i="13"/>
  <c r="U26" i="13"/>
  <c r="U27" i="13"/>
  <c r="U28" i="13"/>
  <c r="U29" i="13"/>
  <c r="U30" i="13"/>
  <c r="U31" i="13"/>
  <c r="U32" i="13"/>
  <c r="U35" i="13"/>
  <c r="U41" i="13"/>
  <c r="U42" i="13"/>
  <c r="U43" i="13"/>
  <c r="U44" i="13"/>
  <c r="K32" i="12"/>
  <c r="M32" i="12"/>
  <c r="R32" i="12" s="1"/>
  <c r="M24" i="12"/>
  <c r="M16" i="12"/>
  <c r="K16" i="12"/>
  <c r="I16" i="12"/>
  <c r="H16" i="12"/>
  <c r="G16" i="12"/>
  <c r="F16" i="12"/>
  <c r="F15" i="12"/>
  <c r="G15" i="12"/>
  <c r="H15" i="12"/>
  <c r="I15" i="12"/>
  <c r="J15" i="12"/>
  <c r="K15" i="12"/>
  <c r="L15" i="12"/>
  <c r="M15" i="12"/>
  <c r="R15" i="12" s="1"/>
  <c r="F14" i="12"/>
  <c r="G14" i="12"/>
  <c r="H14" i="12"/>
  <c r="I14" i="12"/>
  <c r="J14" i="12"/>
  <c r="K14" i="12"/>
  <c r="L14" i="12"/>
  <c r="M14" i="12"/>
  <c r="R14" i="12"/>
  <c r="F13" i="12"/>
  <c r="G13" i="12"/>
  <c r="H13" i="12"/>
  <c r="I13" i="12"/>
  <c r="J13" i="12"/>
  <c r="K13" i="12"/>
  <c r="L13" i="12"/>
  <c r="R13" i="12"/>
  <c r="M13" i="12"/>
  <c r="U185" i="13"/>
  <c r="L16" i="12"/>
  <c r="R16" i="12"/>
  <c r="J16" i="12"/>
  <c r="U177" i="13"/>
  <c r="U167" i="13"/>
  <c r="U186" i="13"/>
  <c r="P164" i="13"/>
  <c r="N164" i="13"/>
  <c r="L164" i="13"/>
  <c r="D8" i="12"/>
  <c r="J24" i="12"/>
  <c r="G24" i="12"/>
  <c r="G11" i="12"/>
  <c r="I45" i="13"/>
  <c r="S150" i="13"/>
  <c r="F24" i="12"/>
  <c r="H12" i="12"/>
  <c r="H24" i="12"/>
  <c r="F12" i="12"/>
  <c r="F8" i="12"/>
  <c r="R11" i="12"/>
  <c r="J8" i="12"/>
  <c r="S213" i="13"/>
  <c r="M17" i="13"/>
  <c r="R24" i="12" l="1"/>
  <c r="I17" i="13"/>
  <c r="I14" i="13" s="1"/>
  <c r="I12" i="13" s="1"/>
  <c r="I10" i="13" s="1"/>
  <c r="I12" i="12"/>
  <c r="I8" i="12" s="1"/>
  <c r="I24" i="12"/>
  <c r="K12" i="12"/>
  <c r="K8" i="12" s="1"/>
  <c r="K24" i="12"/>
  <c r="S12" i="13"/>
  <c r="S10" i="13" s="1"/>
  <c r="R28" i="12"/>
  <c r="L12" i="12"/>
  <c r="L24" i="12"/>
  <c r="L17" i="13"/>
  <c r="Q17" i="13"/>
  <c r="O11" i="12"/>
  <c r="O8" i="12" s="1"/>
  <c r="I213" i="13"/>
  <c r="R12" i="12" l="1"/>
  <c r="L8" i="12"/>
  <c r="V17" i="13"/>
  <c r="Q14" i="13"/>
  <c r="V14" i="13" l="1"/>
  <c r="Q12" i="13"/>
  <c r="R8" i="12"/>
  <c r="P8" i="12"/>
  <c r="V12" i="13" l="1"/>
  <c r="Q10" i="13"/>
  <c r="V10" i="13" s="1"/>
</calcChain>
</file>

<file path=xl/comments1.xml><?xml version="1.0" encoding="utf-8"?>
<comments xmlns="http://schemas.openxmlformats.org/spreadsheetml/2006/main">
  <authors>
    <author>slotina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  <charset val="204"/>
          </rPr>
          <t>slotina:</t>
        </r>
        <r>
          <rPr>
            <sz val="9"/>
            <color indexed="81"/>
            <rFont val="Tahoma"/>
            <family val="2"/>
            <charset val="204"/>
          </rPr>
          <t xml:space="preserve">
прогноз СЭР</t>
        </r>
      </text>
    </comment>
  </commentList>
</comments>
</file>

<file path=xl/sharedStrings.xml><?xml version="1.0" encoding="utf-8"?>
<sst xmlns="http://schemas.openxmlformats.org/spreadsheetml/2006/main" count="1264" uniqueCount="268">
  <si>
    <t>№ п/п</t>
  </si>
  <si>
    <t>Цель, задачи, показатели результативности</t>
  </si>
  <si>
    <t>Плановый период</t>
  </si>
  <si>
    <t>план</t>
  </si>
  <si>
    <t>факт</t>
  </si>
  <si>
    <t>январь - март</t>
  </si>
  <si>
    <t>1-ый год</t>
  </si>
  <si>
    <t>2-ой год</t>
  </si>
  <si>
    <t>Примечание (оценка рисков невыполнения показателей по программе, причины не выполнения, выбор действий по преодолению)</t>
  </si>
  <si>
    <t>Цель</t>
  </si>
  <si>
    <t>Задача 1</t>
  </si>
  <si>
    <t>…</t>
  </si>
  <si>
    <t>Задача 2</t>
  </si>
  <si>
    <t>тыс. рублей</t>
  </si>
  <si>
    <t>федеральный бюджет</t>
  </si>
  <si>
    <t>за январь   -    20__ __ г. (нарастающим итогом)</t>
  </si>
  <si>
    <t>Целевой показатель 1</t>
  </si>
  <si>
    <t>Целевой показатель n</t>
  </si>
  <si>
    <t>Ед. измере-ния</t>
  </si>
  <si>
    <t>январь - июнь</t>
  </si>
  <si>
    <t>январь-сентябрь</t>
  </si>
  <si>
    <t>Весовой критерий</t>
  </si>
  <si>
    <t>Отчетный период (два предшествующих года)</t>
  </si>
  <si>
    <t>значение на конец года</t>
  </si>
  <si>
    <t xml:space="preserve">Итого </t>
  </si>
  <si>
    <t>Статус</t>
  </si>
  <si>
    <t xml:space="preserve">Всего                    </t>
  </si>
  <si>
    <t xml:space="preserve">в том числе:             </t>
  </si>
  <si>
    <t xml:space="preserve">краевой бюджет           </t>
  </si>
  <si>
    <t>юридические лица</t>
  </si>
  <si>
    <t xml:space="preserve">Код бюджетной классификации </t>
  </si>
  <si>
    <t>ГРБС</t>
  </si>
  <si>
    <t>ЦСР</t>
  </si>
  <si>
    <t>ВР</t>
  </si>
  <si>
    <t xml:space="preserve">всего расходные обязательства </t>
  </si>
  <si>
    <t>Расходы по годам</t>
  </si>
  <si>
    <t>Рз Пр</t>
  </si>
  <si>
    <t>подпрограмма 1.1.</t>
  </si>
  <si>
    <t>подпрограмма 1.2.</t>
  </si>
  <si>
    <t>подпрограмма 2.1..</t>
  </si>
  <si>
    <t>подпрограмма 2.2.</t>
  </si>
  <si>
    <t>Подпрограмма 1</t>
  </si>
  <si>
    <t>Подпрограмма n</t>
  </si>
  <si>
    <t xml:space="preserve">федеральный бюджет    </t>
  </si>
  <si>
    <t xml:space="preserve">федеральный бюджет </t>
  </si>
  <si>
    <t>показатели</t>
  </si>
  <si>
    <t>Примечание</t>
  </si>
  <si>
    <t xml:space="preserve">Примечание </t>
  </si>
  <si>
    <t>Источники финансирования</t>
  </si>
  <si>
    <t xml:space="preserve">внебюджетные  источники                 </t>
  </si>
  <si>
    <t>Наименование  программы, подпрограммы</t>
  </si>
  <si>
    <t>Приложение № 11</t>
  </si>
  <si>
    <t>Основное мероприятие 1</t>
  </si>
  <si>
    <t>Основное мероприятие 2</t>
  </si>
  <si>
    <t>№  п/п</t>
  </si>
  <si>
    <t>Наименование объекта</t>
  </si>
  <si>
    <t>Ед.
измерения</t>
  </si>
  <si>
    <t>Остаток сметной стоимости на 01.01. текущего года</t>
  </si>
  <si>
    <t>План на  201___год</t>
  </si>
  <si>
    <t>Финансирование за январь -          201__г.</t>
  </si>
  <si>
    <t>по ПСД (в ценах        ___г.)</t>
  </si>
  <si>
    <t>в ценах контракта</t>
  </si>
  <si>
    <t xml:space="preserve">по ПСД (в ценах__г.) </t>
  </si>
  <si>
    <t>в ценах контракта, всего в том числе</t>
  </si>
  <si>
    <t>кревой бюджет</t>
  </si>
  <si>
    <t>аванс</t>
  </si>
  <si>
    <t>ввод в действие (квартал)</t>
  </si>
  <si>
    <t>всего, в том числе</t>
  </si>
  <si>
    <t>Сметная стоимость  по утвержденной ПСД  ( в ценах        ___г.)</t>
  </si>
  <si>
    <t>по:_________________________________________________________________</t>
  </si>
  <si>
    <t>Наименовние ГРБС</t>
  </si>
  <si>
    <t>в том числе по ГРБС:</t>
  </si>
  <si>
    <t>Статус (муниципальная программа, подпрограмма)</t>
  </si>
  <si>
    <t>муниципальная программа</t>
  </si>
  <si>
    <t>Наименование муниципальной программы, подпрограммы муниципальной программы</t>
  </si>
  <si>
    <t>к Порядку принятия решений о разработке муниципальных программ Шушенского района, их формировании и реализации</t>
  </si>
  <si>
    <t>районный бюджет</t>
  </si>
  <si>
    <t>бюджеты поселений</t>
  </si>
  <si>
    <t>Мощность</t>
  </si>
  <si>
    <t xml:space="preserve">Информация об использовании бюджетных ассигнований районного бюджета и иных средств на реализацию районной муниципальной программы </t>
  </si>
  <si>
    <t>Расшифровка финансирования по объектам капитального строительства, включенным в муниципальную программу</t>
  </si>
  <si>
    <t>Информация о целевых показателях и показателях результативности муниципальной программы Шушенского района</t>
  </si>
  <si>
    <t>Информация об использовании бюджетных ассигнований районного бюджета и иных средств на реализацию мероприятий муниципальной программы (с расшифровкой по главным распорядителям средств районного бюджета, ведомственным целевым программам, основным мероприятиям, а также по годам реализации муниципальной программы)</t>
  </si>
  <si>
    <t>(тыс.руб.)</t>
  </si>
  <si>
    <t>Управление образования Шушенского района</t>
  </si>
  <si>
    <t>"Развитие дошкольного, общего и дополнительного образования детей"</t>
  </si>
  <si>
    <t>"Господдержка детей сирот, организация и осуществление деятельности по опеке и попечительству в отношении несовершеннолетних"</t>
  </si>
  <si>
    <t>«Руководство и управление в сфере установленных функций органов муниципальной власти и обеспечение деятельности подведомственных учреждений образования"</t>
  </si>
  <si>
    <t>078</t>
  </si>
  <si>
    <t>1004</t>
  </si>
  <si>
    <t>0127587</t>
  </si>
  <si>
    <t>0125082</t>
  </si>
  <si>
    <t>0709</t>
  </si>
  <si>
    <t>0127552</t>
  </si>
  <si>
    <t>610</t>
  </si>
  <si>
    <t>Х</t>
  </si>
  <si>
    <t>Мероприятие 1 программы</t>
  </si>
  <si>
    <t>Мероприятие 2 программы</t>
  </si>
  <si>
    <t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Шушенского района (с учетом групп кратковременного пребывания)</t>
  </si>
  <si>
    <t xml:space="preserve">Отношение среднего балла ЕГЭ (в расчете на 1 предмет) в 10 % школ Шушенского района с лучшими результатами ЕГЭ к среднему баллу ЕГЭ (в расчете на 1 предмет) в 10 % школ Шушенского района с худшими результатами ЕГЭ
</t>
  </si>
  <si>
    <t>Доля 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учреждений*</t>
  </si>
  <si>
    <t>%</t>
  </si>
  <si>
    <t>Удельный вес воспитанников дошкольных образовательных организаций, расположенных на территории Шушенского района, 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Шушенского района</t>
  </si>
  <si>
    <t xml:space="preserve">Доля муниципальных образовательных учреждений, реализующих программы общего образования, здания которых находятся в аварийном состоянии или требуют капитального ремонта, в общей численности муниципальных образовательных учреждений, реализующих программы общего образования 
</t>
  </si>
  <si>
    <t>Доля выпускников  муниципальных общеобразовательных учреждений, не сдавших единый государственный экзамен, в общей численности выпускников  муниципальных общеобразовательных учреждений</t>
  </si>
  <si>
    <t>Доля обучающихся в  муниципальных общеобразовательных учреждений, занимающихся во вторую (третью) смену, в общей численности обучающихся в муниципальных  общеобразовательных учреждениях</t>
  </si>
  <si>
    <t>Доля детей с ограниченными возможностями здоровья, обучающихся в общеобразовательных организациях, имеющих лицензию и аккредитованных  по программам специальных (коррекционных) образовательных учреждений, от количества детей данной категории, обучающихся в общеобразовательных учреждениях</t>
  </si>
  <si>
    <t>Доля детей с ограниченными возможностями здоровья и детей-инвалидов, получающихся качественное общее образование с использованием современного оборудования ( в том числе с использованием дистанционных образовательных технологий), от общей численности детей с ограниченными возможностями здоровья и детей-инвалидов школьного возраста</t>
  </si>
  <si>
    <t>Охват детей в возрасте 5–18 лет программами дополнительного образования (удельный вес численности детей, получающих услуги дополнительного образования, в общей численности детей в возрасте 5–18 лет)</t>
  </si>
  <si>
    <t xml:space="preserve">Удельный вес численности обучающихся по программам общего образования, участвующих в олимпиадах и конкурсах различного уровня, 
в общей численности обучающихся по программам общего образования
</t>
  </si>
  <si>
    <t>Численность детей, посещающих дошкольные образовательные учреждения Шушенского района, включая, группы дошкольного образования при школах</t>
  </si>
  <si>
    <t xml:space="preserve">Ед. </t>
  </si>
  <si>
    <t>Приложение № 2</t>
  </si>
  <si>
    <t>Приложение № 3</t>
  </si>
  <si>
    <t>Приложение № 8</t>
  </si>
  <si>
    <t>тел:3-76-46</t>
  </si>
  <si>
    <t>Исп: Петренко Е.В.</t>
  </si>
  <si>
    <t>07 01</t>
  </si>
  <si>
    <t>0117558</t>
  </si>
  <si>
    <t>0701</t>
  </si>
  <si>
    <t>0117559</t>
  </si>
  <si>
    <t>0119215</t>
  </si>
  <si>
    <t>0119101</t>
  </si>
  <si>
    <t>0117421</t>
  </si>
  <si>
    <t>1003</t>
  </si>
  <si>
    <t>360</t>
  </si>
  <si>
    <t>0119224</t>
  </si>
  <si>
    <t>0702</t>
  </si>
  <si>
    <t>0117581</t>
  </si>
  <si>
    <t>0707</t>
  </si>
  <si>
    <t>0117582</t>
  </si>
  <si>
    <t>0119201</t>
  </si>
  <si>
    <t>0117585</t>
  </si>
  <si>
    <t>0119202</t>
  </si>
  <si>
    <t>Итого по задаче №1</t>
  </si>
  <si>
    <t>Задача №2 Обеспечить условия и качество обучения, соответствующие федеральным государственным стандапртам начального общего, основного общего, среднего общего образования</t>
  </si>
  <si>
    <t>Итого по задаче №2</t>
  </si>
  <si>
    <t>Задача №3. Обеспечить доступное и качественное дополнительное образование</t>
  </si>
  <si>
    <t>Итого по задаче №3</t>
  </si>
  <si>
    <t>Задача №4 Содействовать выявлению и поддержке одаренных детей</t>
  </si>
  <si>
    <t>Итого по задаче №4</t>
  </si>
  <si>
    <t>Задача №5 Обеспечить безопасный, качественный отдых и оздоровление детей</t>
  </si>
  <si>
    <t>Итого по задаче №5</t>
  </si>
  <si>
    <t>5226207</t>
  </si>
  <si>
    <t>019</t>
  </si>
  <si>
    <t>9226207</t>
  </si>
  <si>
    <t>9505101</t>
  </si>
  <si>
    <t>9221017</t>
  </si>
  <si>
    <t>9221302</t>
  </si>
  <si>
    <t>9222100</t>
  </si>
  <si>
    <t>933000</t>
  </si>
  <si>
    <t>9501017</t>
  </si>
  <si>
    <t>Итого по мероприятию</t>
  </si>
  <si>
    <t>9226321</t>
  </si>
  <si>
    <t>Задача №1 Обеспечить доступность дошкольного образования, соответствующего единому качества дошкольного образования</t>
  </si>
  <si>
    <t>0115059</t>
  </si>
  <si>
    <t>тел.: 3-18-84</t>
  </si>
  <si>
    <t>0111022</t>
  </si>
  <si>
    <t>0119235</t>
  </si>
  <si>
    <t>611</t>
  </si>
  <si>
    <t>612</t>
  </si>
  <si>
    <t>621</t>
  </si>
  <si>
    <t>622</t>
  </si>
  <si>
    <t>412</t>
  </si>
  <si>
    <t>121</t>
  </si>
  <si>
    <t>122</t>
  </si>
  <si>
    <t>244</t>
  </si>
  <si>
    <t>111</t>
  </si>
  <si>
    <t>112</t>
  </si>
  <si>
    <t>851</t>
  </si>
  <si>
    <t>852</t>
  </si>
  <si>
    <t>0314</t>
  </si>
  <si>
    <t>0939139</t>
  </si>
  <si>
    <t>0115097</t>
  </si>
  <si>
    <t>119</t>
  </si>
  <si>
    <t xml:space="preserve">Управление образования Шушенского района </t>
  </si>
  <si>
    <t>0110074080</t>
  </si>
  <si>
    <t>0110074090</t>
  </si>
  <si>
    <t>0110010210</t>
  </si>
  <si>
    <t>0110010310</t>
  </si>
  <si>
    <t>0120010210</t>
  </si>
  <si>
    <t>0110075540</t>
  </si>
  <si>
    <t>0110075560</t>
  </si>
  <si>
    <t>0110075640</t>
  </si>
  <si>
    <t>0110075660</t>
  </si>
  <si>
    <t>0110075880</t>
  </si>
  <si>
    <t>0110090610</t>
  </si>
  <si>
    <t>0110091020</t>
  </si>
  <si>
    <t>0110091030</t>
  </si>
  <si>
    <t>0110091870</t>
  </si>
  <si>
    <t>129</t>
  </si>
  <si>
    <t>0120090610</t>
  </si>
  <si>
    <t>0110077460</t>
  </si>
  <si>
    <t>0110091010</t>
  </si>
  <si>
    <t>0110075630</t>
  </si>
  <si>
    <t>0110092350</t>
  </si>
  <si>
    <t>01100S5630</t>
  </si>
  <si>
    <t>011007397Г</t>
  </si>
  <si>
    <t>011007397Е</t>
  </si>
  <si>
    <t>01100S397Г</t>
  </si>
  <si>
    <t>01100S397Е</t>
  </si>
  <si>
    <t>0120090210</t>
  </si>
  <si>
    <t>0110091160</t>
  </si>
  <si>
    <t>0703</t>
  </si>
  <si>
    <t>011007397А</t>
  </si>
  <si>
    <t>01100S397А</t>
  </si>
  <si>
    <t>0110075620</t>
  </si>
  <si>
    <t>01100S5620</t>
  </si>
  <si>
    <t>011007397Б</t>
  </si>
  <si>
    <t>01100S397Б</t>
  </si>
  <si>
    <t>853</t>
  </si>
  <si>
    <t>0120091870</t>
  </si>
  <si>
    <t>0120090270</t>
  </si>
  <si>
    <t>"Развитие образования Шушенского района на 2014-2019 годы"</t>
  </si>
  <si>
    <t>011007397В</t>
  </si>
  <si>
    <t>01100S397В</t>
  </si>
  <si>
    <t>0110091180</t>
  </si>
  <si>
    <t>011007553Г</t>
  </si>
  <si>
    <t>01100S553Г</t>
  </si>
  <si>
    <t>012009061</t>
  </si>
  <si>
    <t>011009235</t>
  </si>
  <si>
    <t>0110010420</t>
  </si>
  <si>
    <t>0110077450</t>
  </si>
  <si>
    <t>0120091010</t>
  </si>
  <si>
    <t>321</t>
  </si>
  <si>
    <t>0110010470</t>
  </si>
  <si>
    <t>01100S8400</t>
  </si>
  <si>
    <t>0110076490</t>
  </si>
  <si>
    <t>0110010480</t>
  </si>
  <si>
    <t>0110073970</t>
  </si>
  <si>
    <t>01100S3970</t>
  </si>
  <si>
    <t>0120010470</t>
  </si>
  <si>
    <t>012001047А</t>
  </si>
  <si>
    <t>01100L0271</t>
  </si>
  <si>
    <t>01100R0271</t>
  </si>
  <si>
    <t>0110075530</t>
  </si>
  <si>
    <t>01100S5530</t>
  </si>
  <si>
    <t>0110091480</t>
  </si>
  <si>
    <t>0120010400</t>
  </si>
  <si>
    <t>2018 (отчетный период)</t>
  </si>
  <si>
    <t>2019 (текущий год)</t>
  </si>
  <si>
    <t>исполнение за 3 мес составило 99.90%</t>
  </si>
  <si>
    <t>011001021С</t>
  </si>
  <si>
    <t>Исполнитель Федорова В.А.</t>
  </si>
  <si>
    <t>тел.3 76 46</t>
  </si>
  <si>
    <t>2018 (отчетный год)</t>
  </si>
  <si>
    <t>Текущий год (2019г)</t>
  </si>
  <si>
    <t>"Развитие образования Шушенского района на 2014-2030 годы"</t>
  </si>
  <si>
    <t>0110010230</t>
  </si>
  <si>
    <t>0110010370</t>
  </si>
  <si>
    <t>0110010380</t>
  </si>
  <si>
    <t>0120010230</t>
  </si>
  <si>
    <t>0120010370</t>
  </si>
  <si>
    <t>0120010380</t>
  </si>
  <si>
    <t>012001038М</t>
  </si>
  <si>
    <t>исполнение за 12 мес составило 100%</t>
  </si>
  <si>
    <t>исполнение за 12 мес составило 90% не предоставлены документы на оплату</t>
  </si>
  <si>
    <t>исполнение за 12 мес составило 93% не предоставлены документы на оплату</t>
  </si>
  <si>
    <t>исполнение за 12 мес составило 71% возвращены средства в краевой бюджет</t>
  </si>
  <si>
    <t>исполнение за 12 мес составило 74%</t>
  </si>
  <si>
    <t>исполнение за 12 мес составило 68%</t>
  </si>
  <si>
    <t>исполнение за 12 мес составило 56%</t>
  </si>
  <si>
    <t>исполнение за 12 мес составило 47%</t>
  </si>
  <si>
    <t>исполнение за 12 мес составило 83%</t>
  </si>
  <si>
    <t>исполнение за 12 мес составило 97%</t>
  </si>
  <si>
    <t>исполнение за 12 мес составило 89%</t>
  </si>
  <si>
    <t>Заместитель главы Шушенского района-  руководитель управления образования</t>
  </si>
  <si>
    <t>В.Ю. Киримов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</si>
</sst>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,##0.0"/>
    <numFmt numFmtId="177" formatCode="#,##0.000"/>
    <numFmt numFmtId="184" formatCode="0.000"/>
  </numFmts>
  <fonts count="20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2" fontId="15" fillId="0" borderId="1" xfId="0" applyNumberFormat="1" applyFont="1" applyFill="1" applyBorder="1" applyAlignment="1">
      <alignment horizontal="center" vertical="center" wrapText="1"/>
    </xf>
    <xf numFmtId="172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Fill="1"/>
    <xf numFmtId="177" fontId="16" fillId="0" borderId="1" xfId="0" applyNumberFormat="1" applyFont="1" applyFill="1" applyBorder="1" applyAlignment="1">
      <alignment horizontal="center"/>
    </xf>
    <xf numFmtId="177" fontId="11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vertical="center" wrapText="1" indent="1"/>
    </xf>
    <xf numFmtId="0" fontId="17" fillId="0" borderId="1" xfId="1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49" fontId="11" fillId="0" borderId="1" xfId="0" applyNumberFormat="1" applyFont="1" applyFill="1" applyBorder="1" applyAlignment="1">
      <alignment horizontal="center"/>
    </xf>
    <xf numFmtId="177" fontId="11" fillId="0" borderId="1" xfId="0" applyNumberFormat="1" applyFont="1" applyFill="1" applyBorder="1" applyAlignment="1">
      <alignment wrapText="1"/>
    </xf>
    <xf numFmtId="177" fontId="16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0" xfId="0" applyFont="1" applyFill="1"/>
    <xf numFmtId="0" fontId="6" fillId="0" borderId="0" xfId="0" applyFont="1" applyFill="1" applyAlignment="1">
      <alignment horizontal="left" wrapText="1"/>
    </xf>
    <xf numFmtId="0" fontId="0" fillId="0" borderId="0" xfId="0" applyFill="1" applyAlignment="1">
      <alignment horizontal="right"/>
    </xf>
    <xf numFmtId="49" fontId="11" fillId="0" borderId="1" xfId="0" applyNumberFormat="1" applyFont="1" applyFill="1" applyBorder="1" applyAlignment="1"/>
    <xf numFmtId="0" fontId="16" fillId="0" borderId="1" xfId="0" applyFont="1" applyFill="1" applyBorder="1"/>
    <xf numFmtId="0" fontId="16" fillId="0" borderId="0" xfId="0" applyFont="1" applyFill="1"/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center"/>
    </xf>
    <xf numFmtId="2" fontId="11" fillId="0" borderId="0" xfId="0" applyNumberFormat="1" applyFont="1" applyFill="1"/>
    <xf numFmtId="49" fontId="16" fillId="0" borderId="1" xfId="0" applyNumberFormat="1" applyFont="1" applyFill="1" applyBorder="1" applyAlignment="1"/>
    <xf numFmtId="0" fontId="6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0" borderId="1" xfId="0" applyFill="1" applyBorder="1"/>
    <xf numFmtId="177" fontId="11" fillId="0" borderId="1" xfId="0" applyNumberFormat="1" applyFont="1" applyFill="1" applyBorder="1"/>
    <xf numFmtId="177" fontId="0" fillId="0" borderId="1" xfId="0" applyNumberFormat="1" applyFill="1" applyBorder="1"/>
    <xf numFmtId="184" fontId="0" fillId="0" borderId="0" xfId="0" applyNumberFormat="1" applyFill="1"/>
    <xf numFmtId="4" fontId="11" fillId="0" borderId="1" xfId="0" applyNumberFormat="1" applyFont="1" applyFill="1" applyBorder="1" applyAlignment="1">
      <alignment wrapText="1"/>
    </xf>
    <xf numFmtId="4" fontId="11" fillId="0" borderId="1" xfId="0" applyNumberFormat="1" applyFont="1" applyFill="1" applyBorder="1"/>
    <xf numFmtId="4" fontId="11" fillId="0" borderId="0" xfId="0" applyNumberFormat="1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77" fontId="0" fillId="0" borderId="0" xfId="0" applyNumberForma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2" fontId="0" fillId="0" borderId="0" xfId="0" applyNumberFormat="1" applyFill="1"/>
    <xf numFmtId="177" fontId="11" fillId="0" borderId="1" xfId="0" applyNumberFormat="1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0" xfId="0" applyFont="1" applyFill="1" applyBorder="1"/>
    <xf numFmtId="177" fontId="16" fillId="2" borderId="1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left" vertical="top" wrapText="1"/>
    </xf>
    <xf numFmtId="0" fontId="16" fillId="0" borderId="20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19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172" fontId="2" fillId="0" borderId="1" xfId="0" applyNumberFormat="1" applyFont="1" applyFill="1" applyBorder="1" applyAlignment="1">
      <alignment horizontal="center" vertical="center" wrapText="1"/>
    </xf>
    <xf numFmtId="172" fontId="1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9"/>
  <sheetViews>
    <sheetView tabSelected="1" view="pageBreakPreview" zoomScaleNormal="100" zoomScaleSheetLayoutView="100" workbookViewId="0">
      <selection activeCell="F38" sqref="F38"/>
    </sheetView>
  </sheetViews>
  <sheetFormatPr defaultRowHeight="18.75" customHeight="1" x14ac:dyDescent="0.2"/>
  <cols>
    <col min="1" max="1" width="4" style="2" customWidth="1"/>
    <col min="2" max="2" width="33.28515625" style="2" customWidth="1"/>
    <col min="3" max="3" width="5.85546875" style="2" customWidth="1"/>
    <col min="4" max="4" width="8.5703125" style="2" customWidth="1"/>
    <col min="5" max="5" width="7.5703125" style="2" customWidth="1"/>
    <col min="6" max="11" width="6.28515625" style="2" customWidth="1"/>
    <col min="12" max="12" width="6.85546875" style="2" customWidth="1"/>
    <col min="13" max="13" width="6.5703125" style="43" customWidth="1"/>
    <col min="14" max="15" width="6.28515625" style="43" customWidth="1"/>
    <col min="16" max="17" width="6.28515625" style="2" customWidth="1"/>
    <col min="18" max="18" width="17.42578125" style="2" customWidth="1"/>
    <col min="19" max="16384" width="9.140625" style="2"/>
  </cols>
  <sheetData>
    <row r="1" spans="1:18" ht="18.75" customHeight="1" x14ac:dyDescent="0.25">
      <c r="P1" s="91" t="s">
        <v>114</v>
      </c>
      <c r="Q1" s="91"/>
      <c r="R1" s="91"/>
    </row>
    <row r="2" spans="1:18" ht="71.25" customHeight="1" x14ac:dyDescent="0.25">
      <c r="P2" s="92" t="s">
        <v>75</v>
      </c>
      <c r="Q2" s="92"/>
      <c r="R2" s="92"/>
    </row>
    <row r="3" spans="1:18" ht="18.75" customHeight="1" x14ac:dyDescent="0.25">
      <c r="P3" s="19"/>
      <c r="Q3" s="19"/>
      <c r="R3" s="19"/>
    </row>
    <row r="4" spans="1:18" ht="18.75" customHeight="1" x14ac:dyDescent="0.25">
      <c r="B4" s="89" t="s">
        <v>81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 ht="18.75" customHeight="1" thickBot="1" x14ac:dyDescent="0.25"/>
    <row r="6" spans="1:18" s="1" customFormat="1" ht="30" customHeight="1" x14ac:dyDescent="0.2">
      <c r="A6" s="103" t="s">
        <v>0</v>
      </c>
      <c r="B6" s="86" t="s">
        <v>1</v>
      </c>
      <c r="C6" s="86" t="s">
        <v>18</v>
      </c>
      <c r="D6" s="100" t="s">
        <v>21</v>
      </c>
      <c r="E6" s="86" t="s">
        <v>22</v>
      </c>
      <c r="F6" s="86"/>
      <c r="G6" s="86"/>
      <c r="H6" s="86" t="s">
        <v>246</v>
      </c>
      <c r="I6" s="86"/>
      <c r="J6" s="86"/>
      <c r="K6" s="86"/>
      <c r="L6" s="86"/>
      <c r="M6" s="86"/>
      <c r="N6" s="86"/>
      <c r="O6" s="86"/>
      <c r="P6" s="86" t="s">
        <v>2</v>
      </c>
      <c r="Q6" s="86"/>
      <c r="R6" s="95" t="s">
        <v>8</v>
      </c>
    </row>
    <row r="7" spans="1:18" s="1" customFormat="1" ht="28.5" customHeight="1" x14ac:dyDescent="0.2">
      <c r="A7" s="104"/>
      <c r="B7" s="87"/>
      <c r="C7" s="87"/>
      <c r="D7" s="101"/>
      <c r="E7" s="22">
        <v>2017</v>
      </c>
      <c r="F7" s="87">
        <v>2018</v>
      </c>
      <c r="G7" s="87"/>
      <c r="H7" s="87" t="s">
        <v>5</v>
      </c>
      <c r="I7" s="87"/>
      <c r="J7" s="93" t="s">
        <v>19</v>
      </c>
      <c r="K7" s="94"/>
      <c r="L7" s="93" t="s">
        <v>20</v>
      </c>
      <c r="M7" s="94"/>
      <c r="N7" s="98" t="s">
        <v>23</v>
      </c>
      <c r="O7" s="98"/>
      <c r="P7" s="87" t="s">
        <v>6</v>
      </c>
      <c r="Q7" s="87" t="s">
        <v>7</v>
      </c>
      <c r="R7" s="96"/>
    </row>
    <row r="8" spans="1:18" s="1" customFormat="1" ht="18.75" customHeight="1" thickBot="1" x14ac:dyDescent="0.25">
      <c r="A8" s="105"/>
      <c r="B8" s="88"/>
      <c r="C8" s="88"/>
      <c r="D8" s="102"/>
      <c r="E8" s="5" t="s">
        <v>4</v>
      </c>
      <c r="F8" s="5" t="s">
        <v>3</v>
      </c>
      <c r="G8" s="5" t="s">
        <v>4</v>
      </c>
      <c r="H8" s="5" t="s">
        <v>3</v>
      </c>
      <c r="I8" s="5" t="s">
        <v>4</v>
      </c>
      <c r="J8" s="5" t="s">
        <v>3</v>
      </c>
      <c r="K8" s="5" t="s">
        <v>4</v>
      </c>
      <c r="L8" s="5" t="s">
        <v>3</v>
      </c>
      <c r="M8" s="77" t="s">
        <v>4</v>
      </c>
      <c r="N8" s="77" t="s">
        <v>3</v>
      </c>
      <c r="O8" s="77" t="s">
        <v>4</v>
      </c>
      <c r="P8" s="88"/>
      <c r="Q8" s="88"/>
      <c r="R8" s="97"/>
    </row>
    <row r="9" spans="1:18" ht="18.75" customHeight="1" x14ac:dyDescent="0.2">
      <c r="A9" s="6"/>
      <c r="B9" s="7" t="s">
        <v>9</v>
      </c>
      <c r="C9" s="7"/>
      <c r="D9" s="7"/>
      <c r="E9" s="7"/>
      <c r="F9" s="78"/>
      <c r="G9" s="78"/>
      <c r="H9" s="7"/>
      <c r="I9" s="7"/>
      <c r="J9" s="7"/>
      <c r="K9" s="7"/>
      <c r="L9" s="7"/>
      <c r="M9" s="78"/>
      <c r="N9" s="7"/>
      <c r="O9" s="78"/>
      <c r="P9" s="7"/>
      <c r="Q9" s="7"/>
      <c r="R9" s="8"/>
    </row>
    <row r="10" spans="1:18" ht="18.75" customHeight="1" x14ac:dyDescent="0.2">
      <c r="A10" s="6"/>
      <c r="B10" s="7" t="s">
        <v>16</v>
      </c>
      <c r="C10" s="7"/>
      <c r="D10" s="7"/>
      <c r="E10" s="7"/>
      <c r="F10" s="78"/>
      <c r="G10" s="78"/>
      <c r="H10" s="7"/>
      <c r="I10" s="7"/>
      <c r="J10" s="7"/>
      <c r="K10" s="7"/>
      <c r="L10" s="7"/>
      <c r="M10" s="78"/>
      <c r="N10" s="7"/>
      <c r="O10" s="78"/>
      <c r="P10" s="7"/>
      <c r="Q10" s="7"/>
      <c r="R10" s="8"/>
    </row>
    <row r="11" spans="1:18" ht="113.25" customHeight="1" x14ac:dyDescent="0.25">
      <c r="A11" s="6"/>
      <c r="B11" s="30" t="s">
        <v>98</v>
      </c>
      <c r="C11" s="32" t="s">
        <v>101</v>
      </c>
      <c r="D11" s="33" t="s">
        <v>95</v>
      </c>
      <c r="E11" s="79">
        <v>72.7</v>
      </c>
      <c r="F11" s="79">
        <v>72.7</v>
      </c>
      <c r="G11" s="79">
        <v>71.900000000000006</v>
      </c>
      <c r="H11" s="79">
        <v>71.900000000000006</v>
      </c>
      <c r="I11" s="79">
        <v>71.900000000000006</v>
      </c>
      <c r="J11" s="79">
        <v>72</v>
      </c>
      <c r="K11" s="79">
        <v>72</v>
      </c>
      <c r="L11" s="79">
        <v>72</v>
      </c>
      <c r="M11" s="79">
        <v>72</v>
      </c>
      <c r="N11" s="79">
        <v>72</v>
      </c>
      <c r="O11" s="79">
        <v>72</v>
      </c>
      <c r="P11" s="37"/>
      <c r="Q11" s="37"/>
      <c r="R11" s="38"/>
    </row>
    <row r="12" spans="1:18" ht="94.5" customHeight="1" x14ac:dyDescent="0.25">
      <c r="A12" s="6"/>
      <c r="B12" s="31" t="s">
        <v>99</v>
      </c>
      <c r="C12" s="33" t="s">
        <v>101</v>
      </c>
      <c r="D12" s="33" t="s">
        <v>95</v>
      </c>
      <c r="E12" s="79">
        <v>1.82</v>
      </c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37"/>
      <c r="Q12" s="37"/>
      <c r="R12" s="38"/>
    </row>
    <row r="13" spans="1:18" ht="72" customHeight="1" x14ac:dyDescent="0.25">
      <c r="A13" s="6"/>
      <c r="B13" s="30" t="s">
        <v>100</v>
      </c>
      <c r="C13" s="32" t="s">
        <v>101</v>
      </c>
      <c r="D13" s="33" t="s">
        <v>95</v>
      </c>
      <c r="E13" s="79">
        <v>86</v>
      </c>
      <c r="F13" s="79">
        <v>86</v>
      </c>
      <c r="G13" s="79">
        <v>86</v>
      </c>
      <c r="H13" s="79">
        <v>86</v>
      </c>
      <c r="I13" s="79">
        <v>86</v>
      </c>
      <c r="J13" s="79">
        <v>86</v>
      </c>
      <c r="K13" s="79">
        <v>86</v>
      </c>
      <c r="L13" s="79">
        <v>86</v>
      </c>
      <c r="M13" s="79">
        <v>86</v>
      </c>
      <c r="N13" s="79">
        <v>86</v>
      </c>
      <c r="O13" s="79">
        <v>86</v>
      </c>
      <c r="P13" s="37"/>
      <c r="Q13" s="37"/>
      <c r="R13" s="38"/>
    </row>
    <row r="14" spans="1:18" ht="18.75" customHeight="1" x14ac:dyDescent="0.25">
      <c r="A14" s="6"/>
      <c r="B14" s="7" t="s">
        <v>17</v>
      </c>
      <c r="C14" s="7"/>
      <c r="D14" s="7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37"/>
      <c r="Q14" s="37"/>
      <c r="R14" s="38"/>
    </row>
    <row r="15" spans="1:18" ht="18.75" customHeight="1" x14ac:dyDescent="0.25">
      <c r="A15" s="4"/>
      <c r="B15" s="3" t="s">
        <v>10</v>
      </c>
      <c r="C15" s="3"/>
      <c r="D15" s="3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9"/>
      <c r="Q15" s="39"/>
      <c r="R15" s="40"/>
    </row>
    <row r="16" spans="1:18" ht="18.75" customHeight="1" x14ac:dyDescent="0.25">
      <c r="A16" s="4"/>
      <c r="B16" s="3" t="s">
        <v>37</v>
      </c>
      <c r="C16" s="3"/>
      <c r="D16" s="3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9"/>
      <c r="Q16" s="39"/>
      <c r="R16" s="40"/>
    </row>
    <row r="17" spans="1:18" ht="18.75" customHeight="1" x14ac:dyDescent="0.25">
      <c r="A17" s="4"/>
      <c r="B17" s="3" t="s">
        <v>45</v>
      </c>
      <c r="C17" s="3"/>
      <c r="D17" s="3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9"/>
      <c r="Q17" s="39"/>
      <c r="R17" s="40"/>
    </row>
    <row r="18" spans="1:18" s="43" customFormat="1" ht="54.75" customHeight="1" x14ac:dyDescent="0.25">
      <c r="A18" s="41"/>
      <c r="B18" s="30" t="s">
        <v>110</v>
      </c>
      <c r="C18" s="32" t="s">
        <v>111</v>
      </c>
      <c r="D18" s="32">
        <v>0.04</v>
      </c>
      <c r="E18" s="36">
        <v>1925</v>
      </c>
      <c r="F18" s="36">
        <v>1925</v>
      </c>
      <c r="G18" s="36">
        <v>1884</v>
      </c>
      <c r="H18" s="36">
        <v>1884</v>
      </c>
      <c r="I18" s="36">
        <v>1884</v>
      </c>
      <c r="J18" s="36">
        <v>1884</v>
      </c>
      <c r="K18" s="36">
        <v>1884</v>
      </c>
      <c r="L18" s="36">
        <v>1884</v>
      </c>
      <c r="M18" s="36">
        <v>1884</v>
      </c>
      <c r="N18" s="36">
        <v>1884</v>
      </c>
      <c r="O18" s="36">
        <v>1884</v>
      </c>
      <c r="P18" s="36"/>
      <c r="Q18" s="36"/>
      <c r="R18" s="42"/>
    </row>
    <row r="19" spans="1:18" ht="54.75" customHeight="1" x14ac:dyDescent="0.25">
      <c r="A19" s="4"/>
      <c r="B19" s="30" t="s">
        <v>102</v>
      </c>
      <c r="C19" s="32" t="s">
        <v>101</v>
      </c>
      <c r="D19" s="32">
        <v>0.03</v>
      </c>
      <c r="E19" s="36">
        <v>100</v>
      </c>
      <c r="F19" s="36">
        <v>100</v>
      </c>
      <c r="G19" s="36">
        <v>100</v>
      </c>
      <c r="H19" s="36">
        <v>100</v>
      </c>
      <c r="I19" s="36">
        <v>100</v>
      </c>
      <c r="J19" s="36">
        <v>100</v>
      </c>
      <c r="K19" s="36">
        <v>100</v>
      </c>
      <c r="L19" s="36">
        <v>100</v>
      </c>
      <c r="M19" s="36">
        <v>100</v>
      </c>
      <c r="N19" s="36">
        <v>100</v>
      </c>
      <c r="O19" s="36">
        <v>100</v>
      </c>
      <c r="P19" s="39"/>
      <c r="Q19" s="39"/>
      <c r="R19" s="40"/>
    </row>
    <row r="20" spans="1:18" ht="18.75" customHeight="1" x14ac:dyDescent="0.25">
      <c r="A20" s="4"/>
      <c r="B20" s="3" t="s">
        <v>38</v>
      </c>
      <c r="C20" s="3"/>
      <c r="D20" s="3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9"/>
      <c r="Q20" s="39"/>
      <c r="R20" s="40"/>
    </row>
    <row r="21" spans="1:18" ht="18.75" customHeight="1" x14ac:dyDescent="0.25">
      <c r="A21" s="4"/>
      <c r="B21" s="3" t="s">
        <v>45</v>
      </c>
      <c r="C21" s="3"/>
      <c r="D21" s="3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9"/>
      <c r="Q21" s="39"/>
      <c r="R21" s="40"/>
    </row>
    <row r="22" spans="1:18" ht="91.5" customHeight="1" x14ac:dyDescent="0.25">
      <c r="A22" s="4"/>
      <c r="B22" s="30" t="s">
        <v>103</v>
      </c>
      <c r="C22" s="33" t="s">
        <v>101</v>
      </c>
      <c r="D22" s="32">
        <v>0.03</v>
      </c>
      <c r="E22" s="36">
        <v>7.1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9"/>
      <c r="Q22" s="39"/>
      <c r="R22" s="40"/>
    </row>
    <row r="23" spans="1:18" ht="82.5" customHeight="1" x14ac:dyDescent="0.25">
      <c r="A23" s="4"/>
      <c r="B23" s="30" t="s">
        <v>104</v>
      </c>
      <c r="C23" s="32" t="s">
        <v>101</v>
      </c>
      <c r="D23" s="32">
        <v>0.04</v>
      </c>
      <c r="E23" s="36">
        <v>0</v>
      </c>
      <c r="F23" s="36">
        <v>0</v>
      </c>
      <c r="G23" s="36">
        <v>0.6</v>
      </c>
      <c r="H23" s="36">
        <v>0</v>
      </c>
      <c r="I23" s="36"/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9"/>
      <c r="Q23" s="39"/>
      <c r="R23" s="40"/>
    </row>
    <row r="24" spans="1:18" ht="82.5" customHeight="1" x14ac:dyDescent="0.25">
      <c r="A24" s="4"/>
      <c r="B24" s="30" t="s">
        <v>105</v>
      </c>
      <c r="C24" s="33" t="s">
        <v>101</v>
      </c>
      <c r="D24" s="32">
        <v>0.03</v>
      </c>
      <c r="E24" s="36">
        <v>4.4000000000000004</v>
      </c>
      <c r="F24" s="36">
        <v>2.87</v>
      </c>
      <c r="G24" s="36">
        <v>2.87</v>
      </c>
      <c r="H24" s="36">
        <v>2.87</v>
      </c>
      <c r="I24" s="36">
        <v>3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9"/>
      <c r="Q24" s="39"/>
      <c r="R24" s="40"/>
    </row>
    <row r="25" spans="1:18" ht="82.5" customHeight="1" x14ac:dyDescent="0.25">
      <c r="A25" s="4"/>
      <c r="B25" s="30" t="s">
        <v>106</v>
      </c>
      <c r="C25" s="34" t="s">
        <v>101</v>
      </c>
      <c r="D25" s="32">
        <v>0.03</v>
      </c>
      <c r="E25" s="36">
        <v>100</v>
      </c>
      <c r="F25" s="36">
        <v>100</v>
      </c>
      <c r="G25" s="36">
        <v>100</v>
      </c>
      <c r="H25" s="36">
        <v>100</v>
      </c>
      <c r="I25" s="36">
        <v>100</v>
      </c>
      <c r="J25" s="36">
        <v>100</v>
      </c>
      <c r="K25" s="36">
        <v>100</v>
      </c>
      <c r="L25" s="36">
        <v>100</v>
      </c>
      <c r="M25" s="36">
        <v>100</v>
      </c>
      <c r="N25" s="36">
        <v>100</v>
      </c>
      <c r="O25" s="36">
        <v>100</v>
      </c>
      <c r="P25" s="39"/>
      <c r="Q25" s="39"/>
      <c r="R25" s="40"/>
    </row>
    <row r="26" spans="1:18" ht="90.75" customHeight="1" x14ac:dyDescent="0.25">
      <c r="A26" s="4"/>
      <c r="B26" s="30" t="s">
        <v>107</v>
      </c>
      <c r="C26" s="34" t="s">
        <v>101</v>
      </c>
      <c r="D26" s="32">
        <v>0.04</v>
      </c>
      <c r="E26" s="36">
        <v>70</v>
      </c>
      <c r="F26" s="36">
        <v>70</v>
      </c>
      <c r="G26" s="36">
        <v>70</v>
      </c>
      <c r="H26" s="36">
        <v>100</v>
      </c>
      <c r="I26" s="36">
        <v>100</v>
      </c>
      <c r="J26" s="36">
        <v>100</v>
      </c>
      <c r="K26" s="36">
        <v>100</v>
      </c>
      <c r="L26" s="36">
        <v>100</v>
      </c>
      <c r="M26" s="36">
        <v>100</v>
      </c>
      <c r="N26" s="36">
        <v>100</v>
      </c>
      <c r="O26" s="36">
        <v>100</v>
      </c>
      <c r="P26" s="39"/>
      <c r="Q26" s="39"/>
      <c r="R26" s="40"/>
    </row>
    <row r="27" spans="1:18" ht="18.75" customHeight="1" x14ac:dyDescent="0.25">
      <c r="A27" s="4"/>
      <c r="B27" s="3" t="s">
        <v>12</v>
      </c>
      <c r="C27" s="3"/>
      <c r="D27" s="3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9"/>
      <c r="Q27" s="39"/>
      <c r="R27" s="40"/>
    </row>
    <row r="28" spans="1:18" ht="18.75" customHeight="1" x14ac:dyDescent="0.25">
      <c r="A28" s="4"/>
      <c r="B28" s="3" t="s">
        <v>39</v>
      </c>
      <c r="C28" s="3"/>
      <c r="D28" s="3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9"/>
      <c r="Q28" s="39"/>
      <c r="R28" s="40"/>
    </row>
    <row r="29" spans="1:18" ht="18.75" customHeight="1" x14ac:dyDescent="0.25">
      <c r="A29" s="4"/>
      <c r="B29" s="3" t="s">
        <v>45</v>
      </c>
      <c r="C29" s="3"/>
      <c r="D29" s="3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9"/>
      <c r="Q29" s="39"/>
      <c r="R29" s="40"/>
    </row>
    <row r="30" spans="1:18" ht="47.25" customHeight="1" x14ac:dyDescent="0.25">
      <c r="A30" s="4"/>
      <c r="B30" s="31" t="s">
        <v>108</v>
      </c>
      <c r="C30" s="35" t="s">
        <v>101</v>
      </c>
      <c r="D30" s="35">
        <v>0.04</v>
      </c>
      <c r="E30" s="36">
        <v>100</v>
      </c>
      <c r="F30" s="36">
        <v>100</v>
      </c>
      <c r="G30" s="36">
        <v>100</v>
      </c>
      <c r="H30" s="36">
        <v>100</v>
      </c>
      <c r="I30" s="36">
        <v>100</v>
      </c>
      <c r="J30" s="36">
        <v>100</v>
      </c>
      <c r="K30" s="36">
        <v>100</v>
      </c>
      <c r="L30" s="36">
        <v>100</v>
      </c>
      <c r="M30" s="36">
        <v>100</v>
      </c>
      <c r="N30" s="36">
        <v>100</v>
      </c>
      <c r="O30" s="36">
        <v>100</v>
      </c>
      <c r="P30" s="39"/>
      <c r="Q30" s="39"/>
      <c r="R30" s="40"/>
    </row>
    <row r="31" spans="1:18" ht="18.75" customHeight="1" x14ac:dyDescent="0.25">
      <c r="A31" s="4"/>
      <c r="B31" s="3" t="s">
        <v>40</v>
      </c>
      <c r="C31" s="3"/>
      <c r="D31" s="3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9"/>
      <c r="Q31" s="39"/>
      <c r="R31" s="40"/>
    </row>
    <row r="32" spans="1:18" ht="18.75" customHeight="1" x14ac:dyDescent="0.25">
      <c r="A32" s="4"/>
      <c r="B32" s="3" t="s">
        <v>45</v>
      </c>
      <c r="C32" s="3"/>
      <c r="D32" s="3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9"/>
      <c r="Q32" s="39"/>
      <c r="R32" s="40"/>
    </row>
    <row r="33" spans="1:18" ht="89.25" customHeight="1" x14ac:dyDescent="0.25">
      <c r="A33" s="4"/>
      <c r="B33" s="31" t="s">
        <v>109</v>
      </c>
      <c r="C33" s="32" t="s">
        <v>101</v>
      </c>
      <c r="D33" s="32">
        <v>0.04</v>
      </c>
      <c r="E33" s="36">
        <v>83</v>
      </c>
      <c r="F33" s="36">
        <v>83</v>
      </c>
      <c r="G33" s="36">
        <v>83</v>
      </c>
      <c r="H33" s="36">
        <v>82</v>
      </c>
      <c r="I33" s="36">
        <v>82</v>
      </c>
      <c r="J33" s="36">
        <v>82</v>
      </c>
      <c r="K33" s="36">
        <v>82</v>
      </c>
      <c r="L33" s="36">
        <v>82</v>
      </c>
      <c r="M33" s="36">
        <v>82</v>
      </c>
      <c r="N33" s="36">
        <v>82</v>
      </c>
      <c r="O33" s="36">
        <v>82</v>
      </c>
      <c r="P33" s="39"/>
      <c r="Q33" s="39"/>
      <c r="R33" s="40"/>
    </row>
    <row r="34" spans="1:18" ht="18.75" customHeight="1" x14ac:dyDescent="0.2">
      <c r="E34" s="43"/>
      <c r="F34" s="43"/>
      <c r="G34" s="43"/>
      <c r="H34" s="43"/>
      <c r="I34" s="43"/>
      <c r="J34" s="43"/>
      <c r="K34" s="43"/>
      <c r="L34" s="43"/>
      <c r="P34" s="43"/>
    </row>
    <row r="35" spans="1:18" ht="18.75" customHeight="1" x14ac:dyDescent="0.3">
      <c r="A35" s="10"/>
      <c r="B35" s="11"/>
      <c r="C35" s="11"/>
      <c r="D35" s="11"/>
      <c r="E35" s="11"/>
      <c r="F35" s="11"/>
      <c r="G35" s="11"/>
      <c r="H35" s="11"/>
      <c r="I35" s="11"/>
    </row>
    <row r="36" spans="1:18" s="27" customFormat="1" ht="38.25" customHeight="1" x14ac:dyDescent="0.25">
      <c r="A36" s="90" t="s">
        <v>266</v>
      </c>
      <c r="B36" s="90"/>
      <c r="C36" s="90"/>
      <c r="D36" s="90"/>
      <c r="E36" s="90"/>
      <c r="F36" s="90"/>
      <c r="G36" s="90"/>
      <c r="H36" s="90"/>
      <c r="M36" s="99" t="s">
        <v>267</v>
      </c>
      <c r="N36" s="99"/>
      <c r="O36" s="99"/>
    </row>
    <row r="37" spans="1:18" ht="18.75" customHeight="1" x14ac:dyDescent="0.25">
      <c r="A37" s="9"/>
    </row>
    <row r="38" spans="1:18" ht="18.75" customHeight="1" x14ac:dyDescent="0.2">
      <c r="B38" s="2" t="s">
        <v>116</v>
      </c>
    </row>
    <row r="39" spans="1:18" ht="18.75" customHeight="1" x14ac:dyDescent="0.2">
      <c r="B39" s="2" t="s">
        <v>156</v>
      </c>
    </row>
  </sheetData>
  <mergeCells count="20">
    <mergeCell ref="A6:A8"/>
    <mergeCell ref="F7:G7"/>
    <mergeCell ref="E6:G6"/>
    <mergeCell ref="P1:R1"/>
    <mergeCell ref="P2:R2"/>
    <mergeCell ref="H6:O6"/>
    <mergeCell ref="L7:M7"/>
    <mergeCell ref="R6:R8"/>
    <mergeCell ref="N7:O7"/>
    <mergeCell ref="J7:K7"/>
    <mergeCell ref="B6:B8"/>
    <mergeCell ref="Q7:Q8"/>
    <mergeCell ref="P7:P8"/>
    <mergeCell ref="B4:R4"/>
    <mergeCell ref="P6:Q6"/>
    <mergeCell ref="A36:H36"/>
    <mergeCell ref="H7:I7"/>
    <mergeCell ref="M36:O36"/>
    <mergeCell ref="C6:C8"/>
    <mergeCell ref="D6:D8"/>
  </mergeCells>
  <phoneticPr fontId="1" type="noConversion"/>
  <pageMargins left="0.97" right="0.25" top="0.78740157480314965" bottom="0.38" header="0.51181102362204722" footer="0.35"/>
  <pageSetup paperSize="9" scale="8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222"/>
  <sheetViews>
    <sheetView view="pageBreakPreview" topLeftCell="A194" zoomScale="70" zoomScaleNormal="70" zoomScaleSheetLayoutView="70" workbookViewId="0">
      <selection activeCell="A217" sqref="A217:IV217"/>
    </sheetView>
  </sheetViews>
  <sheetFormatPr defaultColWidth="12.42578125" defaultRowHeight="12.75" x14ac:dyDescent="0.2"/>
  <cols>
    <col min="1" max="9" width="12.42578125" style="27" customWidth="1"/>
    <col min="10" max="17" width="18.140625" style="27" customWidth="1"/>
    <col min="18" max="19" width="12.42578125" style="27" customWidth="1"/>
    <col min="20" max="20" width="22.140625" style="27" customWidth="1"/>
    <col min="21" max="16384" width="12.42578125" style="27"/>
  </cols>
  <sheetData>
    <row r="1" spans="1:22" ht="15.75" hidden="1" customHeight="1" x14ac:dyDescent="0.25">
      <c r="R1" s="119" t="s">
        <v>112</v>
      </c>
      <c r="S1" s="119"/>
      <c r="T1" s="119"/>
    </row>
    <row r="2" spans="1:22" ht="62.25" hidden="1" customHeight="1" x14ac:dyDescent="0.25">
      <c r="R2" s="120" t="s">
        <v>75</v>
      </c>
      <c r="S2" s="120"/>
      <c r="T2" s="120"/>
    </row>
    <row r="4" spans="1:22" ht="45" customHeight="1" x14ac:dyDescent="0.25">
      <c r="A4" s="121" t="s">
        <v>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</row>
    <row r="5" spans="1:22" ht="18" customHeight="1" x14ac:dyDescent="0.2">
      <c r="K5" s="76"/>
      <c r="T5" s="52" t="s">
        <v>83</v>
      </c>
    </row>
    <row r="6" spans="1:22" s="50" customFormat="1" ht="26.25" customHeight="1" x14ac:dyDescent="0.2">
      <c r="A6" s="107" t="s">
        <v>72</v>
      </c>
      <c r="B6" s="107" t="s">
        <v>50</v>
      </c>
      <c r="C6" s="107" t="s">
        <v>70</v>
      </c>
      <c r="D6" s="107" t="s">
        <v>30</v>
      </c>
      <c r="E6" s="107"/>
      <c r="F6" s="107"/>
      <c r="G6" s="107"/>
      <c r="H6" s="122" t="s">
        <v>35</v>
      </c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07" t="s">
        <v>46</v>
      </c>
    </row>
    <row r="7" spans="1:22" s="50" customFormat="1" ht="15.75" customHeight="1" x14ac:dyDescent="0.2">
      <c r="A7" s="107"/>
      <c r="B7" s="107"/>
      <c r="C7" s="107"/>
      <c r="D7" s="107" t="s">
        <v>31</v>
      </c>
      <c r="E7" s="107" t="s">
        <v>36</v>
      </c>
      <c r="F7" s="107" t="s">
        <v>32</v>
      </c>
      <c r="G7" s="107" t="s">
        <v>33</v>
      </c>
      <c r="H7" s="80"/>
      <c r="I7" s="80"/>
      <c r="J7" s="107" t="s">
        <v>240</v>
      </c>
      <c r="K7" s="107"/>
      <c r="L7" s="107"/>
      <c r="M7" s="107"/>
      <c r="N7" s="107"/>
      <c r="O7" s="107"/>
      <c r="P7" s="107"/>
      <c r="Q7" s="107"/>
      <c r="R7" s="111" t="s">
        <v>2</v>
      </c>
      <c r="S7" s="112"/>
      <c r="T7" s="107"/>
    </row>
    <row r="8" spans="1:22" s="50" customFormat="1" ht="51" customHeight="1" x14ac:dyDescent="0.2">
      <c r="A8" s="107"/>
      <c r="B8" s="107"/>
      <c r="C8" s="107"/>
      <c r="D8" s="107"/>
      <c r="E8" s="107"/>
      <c r="F8" s="107"/>
      <c r="G8" s="107"/>
      <c r="H8" s="107" t="s">
        <v>239</v>
      </c>
      <c r="I8" s="107"/>
      <c r="J8" s="107" t="s">
        <v>5</v>
      </c>
      <c r="K8" s="107"/>
      <c r="L8" s="107" t="s">
        <v>19</v>
      </c>
      <c r="M8" s="107"/>
      <c r="N8" s="107" t="s">
        <v>20</v>
      </c>
      <c r="O8" s="107"/>
      <c r="P8" s="107" t="s">
        <v>23</v>
      </c>
      <c r="Q8" s="107"/>
      <c r="R8" s="80"/>
      <c r="S8" s="80"/>
      <c r="T8" s="107"/>
    </row>
    <row r="9" spans="1:22" s="50" customFormat="1" ht="32.25" customHeight="1" x14ac:dyDescent="0.2">
      <c r="A9" s="107"/>
      <c r="B9" s="107"/>
      <c r="C9" s="107"/>
      <c r="D9" s="107"/>
      <c r="E9" s="107"/>
      <c r="F9" s="107"/>
      <c r="G9" s="107"/>
      <c r="H9" s="80" t="s">
        <v>3</v>
      </c>
      <c r="I9" s="80" t="s">
        <v>4</v>
      </c>
      <c r="J9" s="80" t="s">
        <v>3</v>
      </c>
      <c r="K9" s="80" t="s">
        <v>4</v>
      </c>
      <c r="L9" s="80" t="s">
        <v>3</v>
      </c>
      <c r="M9" s="80" t="s">
        <v>4</v>
      </c>
      <c r="N9" s="80" t="s">
        <v>3</v>
      </c>
      <c r="O9" s="80" t="s">
        <v>4</v>
      </c>
      <c r="P9" s="80" t="s">
        <v>3</v>
      </c>
      <c r="Q9" s="80" t="s">
        <v>4</v>
      </c>
      <c r="R9" s="61" t="s">
        <v>6</v>
      </c>
      <c r="S9" s="61" t="s">
        <v>7</v>
      </c>
      <c r="T9" s="107"/>
      <c r="V9" s="58"/>
    </row>
    <row r="10" spans="1:22" s="50" customFormat="1" ht="38.25" x14ac:dyDescent="0.2">
      <c r="A10" s="106" t="s">
        <v>73</v>
      </c>
      <c r="B10" s="106" t="s">
        <v>247</v>
      </c>
      <c r="C10" s="47" t="s">
        <v>34</v>
      </c>
      <c r="D10" s="44" t="s">
        <v>95</v>
      </c>
      <c r="E10" s="44" t="s">
        <v>95</v>
      </c>
      <c r="F10" s="44" t="s">
        <v>95</v>
      </c>
      <c r="G10" s="44" t="s">
        <v>95</v>
      </c>
      <c r="H10" s="28">
        <f>H12</f>
        <v>767154.57600000012</v>
      </c>
      <c r="I10" s="28">
        <f>I12</f>
        <v>760879.23899999994</v>
      </c>
      <c r="J10" s="85">
        <f t="shared" ref="J10:S10" si="0">J12</f>
        <v>176918.587</v>
      </c>
      <c r="K10" s="85">
        <f t="shared" si="0"/>
        <v>176410.508</v>
      </c>
      <c r="L10" s="85">
        <f t="shared" si="0"/>
        <v>432038.10999999987</v>
      </c>
      <c r="M10" s="85">
        <f>M12</f>
        <v>431407.84699999995</v>
      </c>
      <c r="N10" s="85">
        <f>N12</f>
        <v>548409.15799999994</v>
      </c>
      <c r="O10" s="85">
        <f t="shared" si="0"/>
        <v>547632.23600000003</v>
      </c>
      <c r="P10" s="85">
        <f>P12</f>
        <v>781078.43599999999</v>
      </c>
      <c r="Q10" s="85">
        <f t="shared" si="0"/>
        <v>780576.90899999999</v>
      </c>
      <c r="R10" s="28">
        <f t="shared" si="0"/>
        <v>710069.56700000004</v>
      </c>
      <c r="S10" s="28">
        <f t="shared" si="0"/>
        <v>710069.56700000004</v>
      </c>
      <c r="T10" s="49"/>
      <c r="V10" s="58">
        <f>Q10/P10*100</f>
        <v>99.935790443458103</v>
      </c>
    </row>
    <row r="11" spans="1:22" s="50" customFormat="1" ht="25.5" x14ac:dyDescent="0.2">
      <c r="A11" s="106"/>
      <c r="B11" s="106"/>
      <c r="C11" s="47" t="s">
        <v>71</v>
      </c>
      <c r="D11" s="53"/>
      <c r="E11" s="53"/>
      <c r="F11" s="53"/>
      <c r="G11" s="53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49"/>
      <c r="V11" s="58" t="e">
        <f t="shared" ref="V11:V74" si="1">Q11/P11*100</f>
        <v>#DIV/0!</v>
      </c>
    </row>
    <row r="12" spans="1:22" s="50" customFormat="1" ht="51" x14ac:dyDescent="0.2">
      <c r="A12" s="106"/>
      <c r="B12" s="106"/>
      <c r="C12" s="47" t="s">
        <v>84</v>
      </c>
      <c r="D12" s="44" t="s">
        <v>88</v>
      </c>
      <c r="E12" s="44" t="s">
        <v>95</v>
      </c>
      <c r="F12" s="44" t="s">
        <v>95</v>
      </c>
      <c r="G12" s="44" t="s">
        <v>95</v>
      </c>
      <c r="H12" s="29">
        <f t="shared" ref="H12:S12" si="2">H14+H156+H164</f>
        <v>767154.57600000012</v>
      </c>
      <c r="I12" s="29">
        <f t="shared" si="2"/>
        <v>760879.23899999994</v>
      </c>
      <c r="J12" s="29">
        <f t="shared" si="2"/>
        <v>176918.587</v>
      </c>
      <c r="K12" s="29">
        <f t="shared" si="2"/>
        <v>176410.508</v>
      </c>
      <c r="L12" s="29">
        <f t="shared" si="2"/>
        <v>432038.10999999987</v>
      </c>
      <c r="M12" s="29">
        <f t="shared" si="2"/>
        <v>431407.84699999995</v>
      </c>
      <c r="N12" s="29">
        <f t="shared" si="2"/>
        <v>548409.15799999994</v>
      </c>
      <c r="O12" s="29">
        <f t="shared" si="2"/>
        <v>547632.23600000003</v>
      </c>
      <c r="P12" s="29">
        <f t="shared" si="2"/>
        <v>781078.43599999999</v>
      </c>
      <c r="Q12" s="29">
        <f t="shared" si="2"/>
        <v>780576.90899999999</v>
      </c>
      <c r="R12" s="29">
        <f t="shared" si="2"/>
        <v>710069.56700000004</v>
      </c>
      <c r="S12" s="29">
        <f t="shared" si="2"/>
        <v>710069.56700000004</v>
      </c>
      <c r="T12" s="49"/>
      <c r="V12" s="58">
        <f t="shared" si="1"/>
        <v>99.935790443458103</v>
      </c>
    </row>
    <row r="13" spans="1:22" s="50" customFormat="1" x14ac:dyDescent="0.2">
      <c r="A13" s="106"/>
      <c r="B13" s="106"/>
      <c r="C13" s="47"/>
      <c r="D13" s="44"/>
      <c r="E13" s="53"/>
      <c r="F13" s="53"/>
      <c r="G13" s="53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49"/>
      <c r="V13" s="58" t="e">
        <f t="shared" si="1"/>
        <v>#DIV/0!</v>
      </c>
    </row>
    <row r="14" spans="1:22" s="50" customFormat="1" ht="38.25" x14ac:dyDescent="0.2">
      <c r="A14" s="106" t="s">
        <v>41</v>
      </c>
      <c r="B14" s="106" t="s">
        <v>85</v>
      </c>
      <c r="C14" s="47" t="s">
        <v>34</v>
      </c>
      <c r="D14" s="44" t="s">
        <v>95</v>
      </c>
      <c r="E14" s="44" t="s">
        <v>95</v>
      </c>
      <c r="F14" s="44" t="s">
        <v>95</v>
      </c>
      <c r="G14" s="44" t="s">
        <v>95</v>
      </c>
      <c r="H14" s="28">
        <f>H17</f>
        <v>713059.35000000009</v>
      </c>
      <c r="I14" s="28">
        <f>I17</f>
        <v>707017.674</v>
      </c>
      <c r="J14" s="28">
        <f>J17</f>
        <v>165543.997</v>
      </c>
      <c r="K14" s="28">
        <f t="shared" ref="K14:S14" si="3">K17</f>
        <v>165432.726</v>
      </c>
      <c r="L14" s="28">
        <f>L45+L100+L122+L126+L150</f>
        <v>405744.95599999989</v>
      </c>
      <c r="M14" s="28">
        <f>M45+M100+M122+M126+M150</f>
        <v>405740.09399999992</v>
      </c>
      <c r="N14" s="28">
        <f>N17</f>
        <v>511308.19699999993</v>
      </c>
      <c r="O14" s="28">
        <f t="shared" si="3"/>
        <v>511022.91900000005</v>
      </c>
      <c r="P14" s="28">
        <f>P17</f>
        <v>724857.86100000003</v>
      </c>
      <c r="Q14" s="28">
        <f t="shared" si="3"/>
        <v>724565.29200000002</v>
      </c>
      <c r="R14" s="28">
        <f t="shared" si="3"/>
        <v>656814.37800000003</v>
      </c>
      <c r="S14" s="28">
        <f t="shared" si="3"/>
        <v>656814.37800000003</v>
      </c>
      <c r="T14" s="48" t="s">
        <v>255</v>
      </c>
      <c r="V14" s="58">
        <f t="shared" si="1"/>
        <v>99.959637741998634</v>
      </c>
    </row>
    <row r="15" spans="1:22" s="50" customFormat="1" ht="25.5" x14ac:dyDescent="0.2">
      <c r="A15" s="106"/>
      <c r="B15" s="106"/>
      <c r="C15" s="47" t="s">
        <v>71</v>
      </c>
      <c r="D15" s="44"/>
      <c r="E15" s="53"/>
      <c r="F15" s="53"/>
      <c r="G15" s="53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49"/>
      <c r="V15" s="58" t="e">
        <f t="shared" si="1"/>
        <v>#DIV/0!</v>
      </c>
    </row>
    <row r="16" spans="1:22" s="55" customFormat="1" x14ac:dyDescent="0.2">
      <c r="A16" s="106"/>
      <c r="B16" s="106"/>
      <c r="C16" s="108" t="s">
        <v>154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10"/>
      <c r="T16" s="54"/>
      <c r="V16" s="58" t="e">
        <f t="shared" si="1"/>
        <v>#DIV/0!</v>
      </c>
    </row>
    <row r="17" spans="1:22" s="50" customFormat="1" ht="51" x14ac:dyDescent="0.2">
      <c r="A17" s="106"/>
      <c r="B17" s="106"/>
      <c r="C17" s="56" t="s">
        <v>84</v>
      </c>
      <c r="D17" s="57" t="s">
        <v>88</v>
      </c>
      <c r="E17" s="57" t="s">
        <v>95</v>
      </c>
      <c r="F17" s="57" t="s">
        <v>95</v>
      </c>
      <c r="G17" s="57" t="s">
        <v>95</v>
      </c>
      <c r="H17" s="28">
        <f t="shared" ref="H17:S17" si="4">H45+H100+H122+H126+H150</f>
        <v>713059.35000000009</v>
      </c>
      <c r="I17" s="28">
        <f t="shared" si="4"/>
        <v>707017.674</v>
      </c>
      <c r="J17" s="28">
        <f t="shared" si="4"/>
        <v>165543.997</v>
      </c>
      <c r="K17" s="28">
        <f t="shared" si="4"/>
        <v>165432.726</v>
      </c>
      <c r="L17" s="28">
        <f t="shared" si="4"/>
        <v>405744.95599999989</v>
      </c>
      <c r="M17" s="28">
        <f t="shared" si="4"/>
        <v>405740.09399999992</v>
      </c>
      <c r="N17" s="28">
        <f t="shared" si="4"/>
        <v>511308.19699999993</v>
      </c>
      <c r="O17" s="28">
        <f t="shared" si="4"/>
        <v>511022.91900000005</v>
      </c>
      <c r="P17" s="28">
        <f t="shared" si="4"/>
        <v>724857.86100000003</v>
      </c>
      <c r="Q17" s="28">
        <f t="shared" si="4"/>
        <v>724565.29200000002</v>
      </c>
      <c r="R17" s="28">
        <f t="shared" si="4"/>
        <v>656814.37800000003</v>
      </c>
      <c r="S17" s="28">
        <f t="shared" si="4"/>
        <v>656814.37800000003</v>
      </c>
      <c r="T17" s="48" t="s">
        <v>255</v>
      </c>
      <c r="V17" s="58">
        <f t="shared" si="1"/>
        <v>99.959637741998634</v>
      </c>
    </row>
    <row r="18" spans="1:22" s="50" customFormat="1" ht="51" x14ac:dyDescent="0.2">
      <c r="A18" s="106"/>
      <c r="B18" s="106"/>
      <c r="C18" s="47" t="s">
        <v>84</v>
      </c>
      <c r="D18" s="44" t="s">
        <v>88</v>
      </c>
      <c r="E18" s="44" t="s">
        <v>117</v>
      </c>
      <c r="F18" s="44" t="s">
        <v>186</v>
      </c>
      <c r="G18" s="44" t="s">
        <v>159</v>
      </c>
      <c r="H18" s="29">
        <f>74881.338+0.001</f>
        <v>74881.339000000007</v>
      </c>
      <c r="I18" s="29">
        <f>72509.587-0.001</f>
        <v>72509.585999999996</v>
      </c>
      <c r="J18" s="29">
        <f>21437.931+0.003</f>
        <v>21437.934000000001</v>
      </c>
      <c r="K18" s="29">
        <f>21437.931+0.004</f>
        <v>21437.935000000001</v>
      </c>
      <c r="L18" s="29">
        <f>38642.323+0.001</f>
        <v>38642.323999999993</v>
      </c>
      <c r="M18" s="29">
        <v>38642.322999999997</v>
      </c>
      <c r="N18" s="29">
        <f>55219.95-0.001</f>
        <v>55219.949000000001</v>
      </c>
      <c r="O18" s="29">
        <f>55216.11-0.001</f>
        <v>55216.109000000004</v>
      </c>
      <c r="P18" s="29">
        <v>75695.528000000006</v>
      </c>
      <c r="Q18" s="29">
        <f>75623.233-0.001</f>
        <v>75623.231999999989</v>
      </c>
      <c r="R18" s="29">
        <v>74560.097999999998</v>
      </c>
      <c r="S18" s="29">
        <v>74560.097999999998</v>
      </c>
      <c r="T18" s="48" t="s">
        <v>255</v>
      </c>
      <c r="U18" s="49">
        <f>ROUND(M18/P18,2)</f>
        <v>0.51</v>
      </c>
      <c r="V18" s="58">
        <f t="shared" si="1"/>
        <v>99.904491055270768</v>
      </c>
    </row>
    <row r="19" spans="1:22" s="50" customFormat="1" ht="51" x14ac:dyDescent="0.2">
      <c r="A19" s="106"/>
      <c r="B19" s="106"/>
      <c r="C19" s="47" t="s">
        <v>175</v>
      </c>
      <c r="D19" s="44" t="s">
        <v>88</v>
      </c>
      <c r="E19" s="44" t="s">
        <v>117</v>
      </c>
      <c r="F19" s="44" t="s">
        <v>178</v>
      </c>
      <c r="G19" s="44" t="s">
        <v>159</v>
      </c>
      <c r="H19" s="29">
        <v>4960.6130000000003</v>
      </c>
      <c r="I19" s="29">
        <v>4960.6130000000003</v>
      </c>
      <c r="J19" s="29">
        <v>3097.3290000000002</v>
      </c>
      <c r="K19" s="29">
        <v>3097.3290000000002</v>
      </c>
      <c r="L19" s="29">
        <v>6194.6809999999996</v>
      </c>
      <c r="M19" s="29">
        <v>6194.6809999999996</v>
      </c>
      <c r="N19" s="29">
        <v>9464.6080000000002</v>
      </c>
      <c r="O19" s="29">
        <v>9464.6080000000002</v>
      </c>
      <c r="P19" s="29">
        <v>13834.028</v>
      </c>
      <c r="Q19" s="29">
        <v>13834.028</v>
      </c>
      <c r="R19" s="29"/>
      <c r="S19" s="29"/>
      <c r="T19" s="48" t="s">
        <v>255</v>
      </c>
      <c r="U19" s="49">
        <f>ROUND(M19/P19,2)</f>
        <v>0.45</v>
      </c>
      <c r="V19" s="58">
        <f t="shared" si="1"/>
        <v>100</v>
      </c>
    </row>
    <row r="20" spans="1:22" s="50" customFormat="1" ht="51" x14ac:dyDescent="0.2">
      <c r="A20" s="106"/>
      <c r="B20" s="106"/>
      <c r="C20" s="47" t="s">
        <v>175</v>
      </c>
      <c r="D20" s="44" t="s">
        <v>88</v>
      </c>
      <c r="E20" s="44" t="s">
        <v>117</v>
      </c>
      <c r="F20" s="44" t="s">
        <v>248</v>
      </c>
      <c r="G20" s="44" t="s">
        <v>159</v>
      </c>
      <c r="H20" s="29"/>
      <c r="I20" s="29"/>
      <c r="J20" s="29"/>
      <c r="K20" s="29"/>
      <c r="L20" s="29"/>
      <c r="M20" s="29"/>
      <c r="N20" s="29"/>
      <c r="O20" s="29"/>
      <c r="P20" s="29">
        <v>338.49599999999998</v>
      </c>
      <c r="Q20" s="29">
        <v>338.49599999999998</v>
      </c>
      <c r="R20" s="29"/>
      <c r="S20" s="29"/>
      <c r="T20" s="48" t="s">
        <v>255</v>
      </c>
      <c r="U20" s="49">
        <f>ROUND(M20/P20,2)</f>
        <v>0</v>
      </c>
      <c r="V20" s="58">
        <f t="shared" si="1"/>
        <v>100</v>
      </c>
    </row>
    <row r="21" spans="1:22" s="50" customFormat="1" ht="51" x14ac:dyDescent="0.2">
      <c r="A21" s="106"/>
      <c r="B21" s="106"/>
      <c r="C21" s="47" t="s">
        <v>175</v>
      </c>
      <c r="D21" s="44" t="s">
        <v>88</v>
      </c>
      <c r="E21" s="44" t="s">
        <v>117</v>
      </c>
      <c r="F21" s="44" t="s">
        <v>195</v>
      </c>
      <c r="G21" s="44" t="s">
        <v>159</v>
      </c>
      <c r="H21" s="29"/>
      <c r="I21" s="29"/>
      <c r="J21" s="29"/>
      <c r="K21" s="29"/>
      <c r="L21" s="29"/>
      <c r="M21" s="29"/>
      <c r="N21" s="29">
        <v>585.5</v>
      </c>
      <c r="O21" s="29">
        <v>585.5</v>
      </c>
      <c r="P21" s="29">
        <v>585.5</v>
      </c>
      <c r="Q21" s="29">
        <v>585.5</v>
      </c>
      <c r="R21" s="29"/>
      <c r="S21" s="29"/>
      <c r="T21" s="48" t="s">
        <v>255</v>
      </c>
      <c r="U21" s="49">
        <f>ROUND(M21/P21,2)</f>
        <v>0</v>
      </c>
      <c r="V21" s="58">
        <f t="shared" si="1"/>
        <v>100</v>
      </c>
    </row>
    <row r="22" spans="1:22" s="50" customFormat="1" ht="51" x14ac:dyDescent="0.2">
      <c r="A22" s="106"/>
      <c r="B22" s="106"/>
      <c r="C22" s="47" t="s">
        <v>175</v>
      </c>
      <c r="D22" s="44" t="s">
        <v>88</v>
      </c>
      <c r="E22" s="44" t="s">
        <v>117</v>
      </c>
      <c r="F22" s="44" t="s">
        <v>242</v>
      </c>
      <c r="G22" s="44" t="s">
        <v>159</v>
      </c>
      <c r="H22" s="29"/>
      <c r="I22" s="29"/>
      <c r="J22" s="29">
        <v>0</v>
      </c>
      <c r="K22" s="29">
        <v>0</v>
      </c>
      <c r="L22" s="29">
        <v>657.28300000000002</v>
      </c>
      <c r="M22" s="29">
        <v>657.28300000000002</v>
      </c>
      <c r="N22" s="29">
        <v>813.48099999999999</v>
      </c>
      <c r="O22" s="29">
        <v>813.48099999999999</v>
      </c>
      <c r="P22" s="29">
        <v>1100.9069999999999</v>
      </c>
      <c r="Q22" s="29">
        <v>1100.9069999999999</v>
      </c>
      <c r="R22" s="29"/>
      <c r="S22" s="29"/>
      <c r="T22" s="48" t="s">
        <v>255</v>
      </c>
      <c r="U22" s="49">
        <f>ROUND(M22/P22,2)</f>
        <v>0.6</v>
      </c>
      <c r="V22" s="58">
        <f t="shared" si="1"/>
        <v>100</v>
      </c>
    </row>
    <row r="23" spans="1:22" s="50" customFormat="1" ht="51" x14ac:dyDescent="0.2">
      <c r="A23" s="106"/>
      <c r="B23" s="106"/>
      <c r="C23" s="47" t="s">
        <v>175</v>
      </c>
      <c r="D23" s="44" t="s">
        <v>88</v>
      </c>
      <c r="E23" s="44" t="s">
        <v>117</v>
      </c>
      <c r="F23" s="44" t="s">
        <v>185</v>
      </c>
      <c r="G23" s="44" t="s">
        <v>159</v>
      </c>
      <c r="H23" s="29">
        <v>78214.289999999994</v>
      </c>
      <c r="I23" s="29">
        <v>77857.778999999995</v>
      </c>
      <c r="J23" s="29">
        <v>15321.221</v>
      </c>
      <c r="K23" s="29">
        <v>15321.221</v>
      </c>
      <c r="L23" s="29">
        <v>42473.048999999999</v>
      </c>
      <c r="M23" s="29">
        <v>42473.048999999999</v>
      </c>
      <c r="N23" s="29">
        <v>55940.805</v>
      </c>
      <c r="O23" s="29">
        <v>55940.805</v>
      </c>
      <c r="P23" s="29">
        <v>82565.8</v>
      </c>
      <c r="Q23" s="29">
        <v>82538.395000000004</v>
      </c>
      <c r="R23" s="29">
        <v>78960.600000000006</v>
      </c>
      <c r="S23" s="29">
        <v>78960.600000000006</v>
      </c>
      <c r="T23" s="48" t="s">
        <v>255</v>
      </c>
      <c r="U23" s="49">
        <f t="shared" ref="U23:U44" si="5">ROUND(M23/P23,2)</f>
        <v>0.51</v>
      </c>
      <c r="V23" s="58">
        <f t="shared" si="1"/>
        <v>99.966808291084206</v>
      </c>
    </row>
    <row r="24" spans="1:22" s="50" customFormat="1" ht="51" x14ac:dyDescent="0.2">
      <c r="A24" s="106"/>
      <c r="B24" s="106"/>
      <c r="C24" s="47" t="s">
        <v>175</v>
      </c>
      <c r="D24" s="44" t="s">
        <v>88</v>
      </c>
      <c r="E24" s="44" t="s">
        <v>117</v>
      </c>
      <c r="F24" s="44" t="s">
        <v>185</v>
      </c>
      <c r="G24" s="44" t="s">
        <v>160</v>
      </c>
      <c r="H24" s="29">
        <v>852.86800000000005</v>
      </c>
      <c r="I24" s="29">
        <f>862.868-14</f>
        <v>848.86800000000005</v>
      </c>
      <c r="J24" s="29">
        <v>0</v>
      </c>
      <c r="K24" s="29">
        <v>0</v>
      </c>
      <c r="L24" s="29">
        <v>778.1</v>
      </c>
      <c r="M24" s="29">
        <v>778.1</v>
      </c>
      <c r="N24" s="29">
        <v>813.1</v>
      </c>
      <c r="O24" s="29">
        <v>813.1</v>
      </c>
      <c r="P24" s="29">
        <v>813.1</v>
      </c>
      <c r="Q24" s="29">
        <v>813.1</v>
      </c>
      <c r="R24" s="29">
        <v>813.1</v>
      </c>
      <c r="S24" s="29">
        <v>813.1</v>
      </c>
      <c r="T24" s="48" t="s">
        <v>255</v>
      </c>
      <c r="U24" s="49">
        <f>ROUND(M24/P24,2)</f>
        <v>0.96</v>
      </c>
      <c r="V24" s="58">
        <f t="shared" si="1"/>
        <v>100</v>
      </c>
    </row>
    <row r="25" spans="1:22" s="50" customFormat="1" ht="24.75" customHeight="1" x14ac:dyDescent="0.2">
      <c r="A25" s="106"/>
      <c r="B25" s="106"/>
      <c r="C25" s="47" t="s">
        <v>175</v>
      </c>
      <c r="D25" s="44" t="s">
        <v>88</v>
      </c>
      <c r="E25" s="44" t="s">
        <v>117</v>
      </c>
      <c r="F25" s="44" t="s">
        <v>176</v>
      </c>
      <c r="G25" s="44" t="s">
        <v>159</v>
      </c>
      <c r="H25" s="29">
        <v>44345.1</v>
      </c>
      <c r="I25" s="29">
        <v>43867.023000000001</v>
      </c>
      <c r="J25" s="29">
        <v>8050.8050000000003</v>
      </c>
      <c r="K25" s="29">
        <v>8050.8050000000003</v>
      </c>
      <c r="L25" s="29">
        <v>23484.736000000001</v>
      </c>
      <c r="M25" s="29">
        <v>23484.736000000001</v>
      </c>
      <c r="N25" s="29">
        <v>30820.510999999999</v>
      </c>
      <c r="O25" s="29">
        <v>30820.510999999999</v>
      </c>
      <c r="P25" s="29">
        <v>47660.11</v>
      </c>
      <c r="Q25" s="29">
        <v>47660.11</v>
      </c>
      <c r="R25" s="29">
        <v>37005.1</v>
      </c>
      <c r="S25" s="29">
        <v>37005.1</v>
      </c>
      <c r="T25" s="48" t="s">
        <v>255</v>
      </c>
      <c r="U25" s="49">
        <f>ROUND(M25/P25,2)</f>
        <v>0.49</v>
      </c>
      <c r="V25" s="58">
        <f t="shared" si="1"/>
        <v>100</v>
      </c>
    </row>
    <row r="26" spans="1:22" s="50" customFormat="1" ht="25.5" hidden="1" customHeight="1" x14ac:dyDescent="0.2">
      <c r="A26" s="106"/>
      <c r="B26" s="106"/>
      <c r="C26" s="47" t="s">
        <v>84</v>
      </c>
      <c r="D26" s="44" t="s">
        <v>88</v>
      </c>
      <c r="E26" s="44" t="s">
        <v>119</v>
      </c>
      <c r="F26" s="44" t="s">
        <v>120</v>
      </c>
      <c r="G26" s="44" t="s">
        <v>159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48"/>
      <c r="U26" s="49" t="e">
        <f t="shared" si="5"/>
        <v>#DIV/0!</v>
      </c>
      <c r="V26" s="58" t="e">
        <f t="shared" si="1"/>
        <v>#DIV/0!</v>
      </c>
    </row>
    <row r="27" spans="1:22" s="50" customFormat="1" ht="25.5" hidden="1" customHeight="1" x14ac:dyDescent="0.2">
      <c r="A27" s="106"/>
      <c r="B27" s="106"/>
      <c r="C27" s="47" t="s">
        <v>84</v>
      </c>
      <c r="D27" s="44" t="s">
        <v>88</v>
      </c>
      <c r="E27" s="44" t="s">
        <v>119</v>
      </c>
      <c r="F27" s="44" t="s">
        <v>121</v>
      </c>
      <c r="G27" s="44" t="s">
        <v>160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48"/>
      <c r="U27" s="49" t="e">
        <f t="shared" si="5"/>
        <v>#DIV/0!</v>
      </c>
      <c r="V27" s="58" t="e">
        <f t="shared" si="1"/>
        <v>#DIV/0!</v>
      </c>
    </row>
    <row r="28" spans="1:22" s="50" customFormat="1" ht="51" x14ac:dyDescent="0.2">
      <c r="A28" s="106"/>
      <c r="B28" s="106"/>
      <c r="C28" s="47" t="s">
        <v>84</v>
      </c>
      <c r="D28" s="44" t="s">
        <v>88</v>
      </c>
      <c r="E28" s="44" t="s">
        <v>119</v>
      </c>
      <c r="F28" s="44" t="s">
        <v>193</v>
      </c>
      <c r="G28" s="44" t="s">
        <v>160</v>
      </c>
      <c r="H28" s="29">
        <v>174.751</v>
      </c>
      <c r="I28" s="29">
        <v>174.751</v>
      </c>
      <c r="J28" s="29">
        <v>218.16399999999999</v>
      </c>
      <c r="K28" s="29">
        <v>218.16399999999999</v>
      </c>
      <c r="L28" s="29">
        <v>387.66399999999999</v>
      </c>
      <c r="M28" s="29">
        <v>387.66399999999999</v>
      </c>
      <c r="N28" s="29">
        <v>1239.0930000000001</v>
      </c>
      <c r="O28" s="29">
        <v>1239.0930000000001</v>
      </c>
      <c r="P28" s="29">
        <v>2111.895</v>
      </c>
      <c r="Q28" s="29">
        <v>2111.8879999999999</v>
      </c>
      <c r="R28" s="29"/>
      <c r="S28" s="29"/>
      <c r="T28" s="48" t="s">
        <v>255</v>
      </c>
      <c r="U28" s="49">
        <f t="shared" si="5"/>
        <v>0.18</v>
      </c>
      <c r="V28" s="58">
        <f t="shared" si="1"/>
        <v>99.999668544127431</v>
      </c>
    </row>
    <row r="29" spans="1:22" s="50" customFormat="1" ht="25.5" hidden="1" customHeight="1" x14ac:dyDescent="0.2">
      <c r="A29" s="106"/>
      <c r="B29" s="106"/>
      <c r="C29" s="47" t="s">
        <v>84</v>
      </c>
      <c r="D29" s="44" t="s">
        <v>88</v>
      </c>
      <c r="E29" s="44" t="s">
        <v>119</v>
      </c>
      <c r="F29" s="44" t="s">
        <v>122</v>
      </c>
      <c r="G29" s="44" t="s">
        <v>159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48" t="s">
        <v>255</v>
      </c>
      <c r="U29" s="49" t="e">
        <f t="shared" si="5"/>
        <v>#DIV/0!</v>
      </c>
      <c r="V29" s="58" t="e">
        <f t="shared" si="1"/>
        <v>#DIV/0!</v>
      </c>
    </row>
    <row r="30" spans="1:22" s="50" customFormat="1" ht="25.5" hidden="1" customHeight="1" x14ac:dyDescent="0.2">
      <c r="A30" s="106"/>
      <c r="B30" s="106"/>
      <c r="C30" s="47" t="s">
        <v>84</v>
      </c>
      <c r="D30" s="44" t="s">
        <v>88</v>
      </c>
      <c r="E30" s="44" t="s">
        <v>119</v>
      </c>
      <c r="F30" s="44" t="s">
        <v>123</v>
      </c>
      <c r="G30" s="44" t="s">
        <v>159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48" t="s">
        <v>255</v>
      </c>
      <c r="U30" s="49" t="e">
        <f t="shared" si="5"/>
        <v>#DIV/0!</v>
      </c>
      <c r="V30" s="58" t="e">
        <f t="shared" si="1"/>
        <v>#DIV/0!</v>
      </c>
    </row>
    <row r="31" spans="1:22" s="50" customFormat="1" ht="51" x14ac:dyDescent="0.2">
      <c r="A31" s="106"/>
      <c r="B31" s="106"/>
      <c r="C31" s="47" t="s">
        <v>84</v>
      </c>
      <c r="D31" s="44" t="s">
        <v>88</v>
      </c>
      <c r="E31" s="44" t="s">
        <v>124</v>
      </c>
      <c r="F31" s="44" t="s">
        <v>181</v>
      </c>
      <c r="G31" s="44" t="s">
        <v>159</v>
      </c>
      <c r="H31" s="29">
        <v>609.4</v>
      </c>
      <c r="I31" s="29">
        <v>567.25</v>
      </c>
      <c r="J31" s="29">
        <v>96.081999999999994</v>
      </c>
      <c r="K31" s="29">
        <v>96.081999999999994</v>
      </c>
      <c r="L31" s="29">
        <v>285.92</v>
      </c>
      <c r="M31" s="29">
        <v>285.92</v>
      </c>
      <c r="N31" s="29">
        <v>386.84</v>
      </c>
      <c r="O31" s="29">
        <v>386.84</v>
      </c>
      <c r="P31" s="29">
        <v>534</v>
      </c>
      <c r="Q31" s="29">
        <v>533.84199999999998</v>
      </c>
      <c r="R31" s="29">
        <v>818.4</v>
      </c>
      <c r="S31" s="29">
        <v>818.4</v>
      </c>
      <c r="T31" s="48" t="s">
        <v>255</v>
      </c>
      <c r="U31" s="49">
        <f t="shared" si="5"/>
        <v>0.54</v>
      </c>
      <c r="V31" s="58">
        <f t="shared" si="1"/>
        <v>99.970411985018728</v>
      </c>
    </row>
    <row r="32" spans="1:22" s="50" customFormat="1" ht="51" x14ac:dyDescent="0.2">
      <c r="A32" s="106"/>
      <c r="B32" s="106"/>
      <c r="C32" s="47" t="s">
        <v>84</v>
      </c>
      <c r="D32" s="44" t="s">
        <v>88</v>
      </c>
      <c r="E32" s="44" t="s">
        <v>89</v>
      </c>
      <c r="F32" s="44" t="s">
        <v>182</v>
      </c>
      <c r="G32" s="44" t="s">
        <v>125</v>
      </c>
      <c r="H32" s="29">
        <v>259.85000000000002</v>
      </c>
      <c r="I32" s="29">
        <v>259.85000000000002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48"/>
      <c r="U32" s="49" t="e">
        <f t="shared" si="5"/>
        <v>#DIV/0!</v>
      </c>
      <c r="V32" s="58" t="e">
        <f t="shared" si="1"/>
        <v>#DIV/0!</v>
      </c>
    </row>
    <row r="33" spans="1:22" s="50" customFormat="1" ht="51" x14ac:dyDescent="0.2">
      <c r="A33" s="106"/>
      <c r="B33" s="106"/>
      <c r="C33" s="47" t="s">
        <v>84</v>
      </c>
      <c r="D33" s="44" t="s">
        <v>88</v>
      </c>
      <c r="E33" s="44" t="s">
        <v>89</v>
      </c>
      <c r="F33" s="44" t="s">
        <v>182</v>
      </c>
      <c r="G33" s="44" t="s">
        <v>224</v>
      </c>
      <c r="H33" s="29">
        <v>2868.7489999999998</v>
      </c>
      <c r="I33" s="29">
        <v>2583.3000000000002</v>
      </c>
      <c r="J33" s="29">
        <v>562.22799999999995</v>
      </c>
      <c r="K33" s="29">
        <v>450.95600000000002</v>
      </c>
      <c r="L33" s="29">
        <v>1125.163</v>
      </c>
      <c r="M33" s="29">
        <v>1120.309</v>
      </c>
      <c r="N33" s="29">
        <v>1535.0360000000001</v>
      </c>
      <c r="O33" s="29">
        <v>1526.2180000000001</v>
      </c>
      <c r="P33" s="29">
        <v>2091.143</v>
      </c>
      <c r="Q33" s="29">
        <v>2091.143</v>
      </c>
      <c r="R33" s="29">
        <v>3231.9</v>
      </c>
      <c r="S33" s="29">
        <v>3231.9</v>
      </c>
      <c r="T33" s="48" t="s">
        <v>255</v>
      </c>
      <c r="U33" s="49">
        <f>ROUND(M33/P33,2)</f>
        <v>0.54</v>
      </c>
      <c r="V33" s="58">
        <f t="shared" si="1"/>
        <v>100</v>
      </c>
    </row>
    <row r="34" spans="1:22" s="50" customFormat="1" ht="51" x14ac:dyDescent="0.2">
      <c r="A34" s="106"/>
      <c r="B34" s="106"/>
      <c r="C34" s="47" t="s">
        <v>84</v>
      </c>
      <c r="D34" s="44" t="s">
        <v>88</v>
      </c>
      <c r="E34" s="44" t="s">
        <v>89</v>
      </c>
      <c r="F34" s="44" t="s">
        <v>182</v>
      </c>
      <c r="G34" s="44" t="s">
        <v>166</v>
      </c>
      <c r="H34" s="29">
        <v>62.9</v>
      </c>
      <c r="I34" s="29">
        <v>56.587000000000003</v>
      </c>
      <c r="J34" s="29">
        <v>5.5819999999999999</v>
      </c>
      <c r="K34" s="29">
        <v>5.5819999999999999</v>
      </c>
      <c r="L34" s="29">
        <v>17.646999999999998</v>
      </c>
      <c r="M34" s="29">
        <v>17.646999999999998</v>
      </c>
      <c r="N34" s="29">
        <v>27.774000000000001</v>
      </c>
      <c r="O34" s="29">
        <v>27.774000000000001</v>
      </c>
      <c r="P34" s="29">
        <v>41.856999999999999</v>
      </c>
      <c r="Q34" s="29">
        <v>41.667000000000002</v>
      </c>
      <c r="R34" s="29">
        <v>64.599999999999994</v>
      </c>
      <c r="S34" s="29">
        <v>64.599999999999994</v>
      </c>
      <c r="T34" s="48" t="s">
        <v>255</v>
      </c>
      <c r="U34" s="49">
        <f>ROUND(M34/P34,2)</f>
        <v>0.42</v>
      </c>
      <c r="V34" s="58">
        <f t="shared" si="1"/>
        <v>99.54607353608715</v>
      </c>
    </row>
    <row r="35" spans="1:22" s="50" customFormat="1" ht="25.5" hidden="1" customHeight="1" x14ac:dyDescent="0.2">
      <c r="A35" s="106"/>
      <c r="B35" s="106"/>
      <c r="C35" s="47" t="s">
        <v>84</v>
      </c>
      <c r="D35" s="44" t="s">
        <v>88</v>
      </c>
      <c r="E35" s="44" t="s">
        <v>119</v>
      </c>
      <c r="F35" s="44" t="s">
        <v>126</v>
      </c>
      <c r="G35" s="44" t="s">
        <v>159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48" t="s">
        <v>255</v>
      </c>
      <c r="U35" s="49" t="e">
        <f t="shared" si="5"/>
        <v>#DIV/0!</v>
      </c>
      <c r="V35" s="58" t="e">
        <f t="shared" si="1"/>
        <v>#DIV/0!</v>
      </c>
    </row>
    <row r="36" spans="1:22" s="50" customFormat="1" ht="25.5" hidden="1" customHeight="1" x14ac:dyDescent="0.2">
      <c r="A36" s="106"/>
      <c r="B36" s="106"/>
      <c r="C36" s="47" t="s">
        <v>84</v>
      </c>
      <c r="D36" s="44" t="s">
        <v>88</v>
      </c>
      <c r="E36" s="44" t="s">
        <v>119</v>
      </c>
      <c r="F36" s="44" t="s">
        <v>155</v>
      </c>
      <c r="G36" s="44" t="s">
        <v>94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48" t="s">
        <v>255</v>
      </c>
      <c r="U36" s="49" t="e">
        <f t="shared" si="5"/>
        <v>#DIV/0!</v>
      </c>
      <c r="V36" s="58" t="e">
        <f t="shared" si="1"/>
        <v>#DIV/0!</v>
      </c>
    </row>
    <row r="37" spans="1:22" s="50" customFormat="1" ht="25.5" hidden="1" customHeight="1" x14ac:dyDescent="0.2">
      <c r="A37" s="106"/>
      <c r="B37" s="106"/>
      <c r="C37" s="47" t="s">
        <v>84</v>
      </c>
      <c r="D37" s="44" t="s">
        <v>88</v>
      </c>
      <c r="E37" s="44" t="s">
        <v>119</v>
      </c>
      <c r="F37" s="44" t="s">
        <v>157</v>
      </c>
      <c r="G37" s="44" t="s">
        <v>94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48" t="s">
        <v>255</v>
      </c>
      <c r="U37" s="49" t="e">
        <f>ROUND(M37/P37,2)</f>
        <v>#DIV/0!</v>
      </c>
      <c r="V37" s="58" t="e">
        <f t="shared" si="1"/>
        <v>#DIV/0!</v>
      </c>
    </row>
    <row r="38" spans="1:22" s="50" customFormat="1" ht="51" hidden="1" x14ac:dyDescent="0.2">
      <c r="A38" s="106"/>
      <c r="B38" s="106"/>
      <c r="C38" s="47" t="s">
        <v>84</v>
      </c>
      <c r="D38" s="44" t="s">
        <v>88</v>
      </c>
      <c r="E38" s="44" t="s">
        <v>119</v>
      </c>
      <c r="F38" s="44" t="s">
        <v>220</v>
      </c>
      <c r="G38" s="44" t="s">
        <v>159</v>
      </c>
      <c r="H38" s="29"/>
      <c r="I38" s="29"/>
      <c r="J38" s="29"/>
      <c r="K38" s="29"/>
      <c r="L38" s="29"/>
      <c r="M38" s="29"/>
      <c r="N38" s="49"/>
      <c r="O38" s="49"/>
      <c r="P38" s="29"/>
      <c r="Q38" s="29"/>
      <c r="R38" s="29"/>
      <c r="S38" s="29"/>
      <c r="T38" s="48" t="s">
        <v>255</v>
      </c>
      <c r="U38" s="49" t="e">
        <f>ROUND(M38/P38,2)</f>
        <v>#DIV/0!</v>
      </c>
      <c r="V38" s="58" t="e">
        <f t="shared" si="1"/>
        <v>#DIV/0!</v>
      </c>
    </row>
    <row r="39" spans="1:22" s="50" customFormat="1" ht="51" x14ac:dyDescent="0.2">
      <c r="A39" s="106"/>
      <c r="B39" s="106"/>
      <c r="C39" s="47" t="s">
        <v>84</v>
      </c>
      <c r="D39" s="44" t="s">
        <v>88</v>
      </c>
      <c r="E39" s="44" t="s">
        <v>119</v>
      </c>
      <c r="F39" s="44" t="s">
        <v>189</v>
      </c>
      <c r="G39" s="44" t="s">
        <v>160</v>
      </c>
      <c r="H39" s="29">
        <v>5.5640000000000001</v>
      </c>
      <c r="I39" s="29">
        <v>5.5460000000000003</v>
      </c>
      <c r="J39" s="29">
        <v>0.95399999999999996</v>
      </c>
      <c r="K39" s="29">
        <v>0.95399999999999996</v>
      </c>
      <c r="L39" s="29">
        <v>2.8809999999999998</v>
      </c>
      <c r="M39" s="29">
        <v>2.8809999999999998</v>
      </c>
      <c r="N39" s="29">
        <v>4.9160000000000004</v>
      </c>
      <c r="O39" s="29">
        <v>4.9160000000000004</v>
      </c>
      <c r="P39" s="29">
        <v>5.7960000000000003</v>
      </c>
      <c r="Q39" s="29">
        <v>5.7789999999999999</v>
      </c>
      <c r="R39" s="29">
        <v>5.7960000000000003</v>
      </c>
      <c r="S39" s="29">
        <v>5.7960000000000003</v>
      </c>
      <c r="T39" s="48" t="s">
        <v>255</v>
      </c>
      <c r="U39" s="49">
        <f>ROUND(M39/P39,2)</f>
        <v>0.5</v>
      </c>
      <c r="V39" s="58">
        <f t="shared" si="1"/>
        <v>99.706694271911658</v>
      </c>
    </row>
    <row r="40" spans="1:22" s="50" customFormat="1" ht="25.5" hidden="1" customHeight="1" x14ac:dyDescent="0.2">
      <c r="A40" s="106"/>
      <c r="B40" s="106"/>
      <c r="C40" s="47" t="s">
        <v>84</v>
      </c>
      <c r="D40" s="44" t="s">
        <v>88</v>
      </c>
      <c r="E40" s="44" t="s">
        <v>119</v>
      </c>
      <c r="F40" s="44" t="s">
        <v>222</v>
      </c>
      <c r="G40" s="44" t="s">
        <v>160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>
        <f>R40</f>
        <v>0</v>
      </c>
      <c r="T40" s="48"/>
      <c r="U40" s="49" t="e">
        <f>ROUND(M40/P40,2)</f>
        <v>#DIV/0!</v>
      </c>
      <c r="V40" s="58" t="e">
        <f t="shared" si="1"/>
        <v>#DIV/0!</v>
      </c>
    </row>
    <row r="41" spans="1:22" s="50" customFormat="1" ht="25.5" customHeight="1" x14ac:dyDescent="0.2">
      <c r="A41" s="106"/>
      <c r="B41" s="106"/>
      <c r="C41" s="47" t="s">
        <v>84</v>
      </c>
      <c r="D41" s="44" t="s">
        <v>88</v>
      </c>
      <c r="E41" s="44" t="s">
        <v>119</v>
      </c>
      <c r="F41" s="44" t="s">
        <v>225</v>
      </c>
      <c r="G41" s="44" t="s">
        <v>159</v>
      </c>
      <c r="H41" s="29">
        <v>701.94399999999996</v>
      </c>
      <c r="I41" s="29">
        <v>701.94399999999996</v>
      </c>
      <c r="J41" s="29"/>
      <c r="K41" s="29"/>
      <c r="L41" s="29"/>
      <c r="M41" s="29"/>
      <c r="N41" s="29"/>
      <c r="O41" s="29"/>
      <c r="P41" s="29"/>
      <c r="Q41" s="29"/>
      <c r="R41" s="29"/>
      <c r="S41" s="29">
        <f>R41</f>
        <v>0</v>
      </c>
      <c r="T41" s="48"/>
      <c r="U41" s="49" t="e">
        <f t="shared" si="5"/>
        <v>#DIV/0!</v>
      </c>
      <c r="V41" s="58" t="e">
        <f t="shared" si="1"/>
        <v>#DIV/0!</v>
      </c>
    </row>
    <row r="42" spans="1:22" s="50" customFormat="1" ht="25.5" hidden="1" customHeight="1" x14ac:dyDescent="0.2">
      <c r="A42" s="106"/>
      <c r="B42" s="106"/>
      <c r="C42" s="47" t="s">
        <v>84</v>
      </c>
      <c r="D42" s="44" t="s">
        <v>88</v>
      </c>
      <c r="E42" s="44" t="s">
        <v>119</v>
      </c>
      <c r="F42" s="44" t="s">
        <v>226</v>
      </c>
      <c r="G42" s="44" t="s">
        <v>160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>
        <f>R42</f>
        <v>0</v>
      </c>
      <c r="T42" s="48"/>
      <c r="U42" s="49" t="e">
        <f t="shared" si="5"/>
        <v>#DIV/0!</v>
      </c>
      <c r="V42" s="58" t="e">
        <f t="shared" si="1"/>
        <v>#DIV/0!</v>
      </c>
    </row>
    <row r="43" spans="1:22" s="50" customFormat="1" ht="25.5" customHeight="1" x14ac:dyDescent="0.2">
      <c r="A43" s="106"/>
      <c r="B43" s="106"/>
      <c r="C43" s="47" t="s">
        <v>84</v>
      </c>
      <c r="D43" s="44" t="s">
        <v>88</v>
      </c>
      <c r="E43" s="44" t="s">
        <v>119</v>
      </c>
      <c r="F43" s="44" t="s">
        <v>233</v>
      </c>
      <c r="G43" s="44" t="s">
        <v>160</v>
      </c>
      <c r="H43" s="29">
        <v>100</v>
      </c>
      <c r="I43" s="29">
        <v>100</v>
      </c>
      <c r="J43" s="29"/>
      <c r="K43" s="29"/>
      <c r="L43" s="49"/>
      <c r="M43" s="29"/>
      <c r="N43" s="29"/>
      <c r="O43" s="29"/>
      <c r="P43" s="29"/>
      <c r="Q43" s="29"/>
      <c r="R43" s="29"/>
      <c r="S43" s="29"/>
      <c r="T43" s="48"/>
      <c r="U43" s="49" t="e">
        <f t="shared" si="5"/>
        <v>#DIV/0!</v>
      </c>
      <c r="V43" s="58" t="e">
        <f t="shared" si="1"/>
        <v>#DIV/0!</v>
      </c>
    </row>
    <row r="44" spans="1:22" s="50" customFormat="1" ht="25.5" customHeight="1" x14ac:dyDescent="0.2">
      <c r="A44" s="106"/>
      <c r="B44" s="106"/>
      <c r="C44" s="47" t="s">
        <v>84</v>
      </c>
      <c r="D44" s="44" t="s">
        <v>88</v>
      </c>
      <c r="E44" s="44" t="s">
        <v>119</v>
      </c>
      <c r="F44" s="44" t="s">
        <v>234</v>
      </c>
      <c r="G44" s="44" t="s">
        <v>160</v>
      </c>
      <c r="H44" s="29">
        <v>1000</v>
      </c>
      <c r="I44" s="29">
        <v>1000</v>
      </c>
      <c r="J44" s="29"/>
      <c r="K44" s="29"/>
      <c r="L44" s="49"/>
      <c r="M44" s="29"/>
      <c r="N44" s="29"/>
      <c r="O44" s="29"/>
      <c r="P44" s="29"/>
      <c r="Q44" s="29"/>
      <c r="R44" s="29"/>
      <c r="S44" s="29"/>
      <c r="T44" s="48"/>
      <c r="U44" s="49" t="e">
        <f t="shared" si="5"/>
        <v>#DIV/0!</v>
      </c>
      <c r="V44" s="58" t="e">
        <f t="shared" si="1"/>
        <v>#DIV/0!</v>
      </c>
    </row>
    <row r="45" spans="1:22" s="55" customFormat="1" ht="25.5" x14ac:dyDescent="0.2">
      <c r="A45" s="106"/>
      <c r="B45" s="106"/>
      <c r="C45" s="56" t="s">
        <v>134</v>
      </c>
      <c r="D45" s="57"/>
      <c r="E45" s="57"/>
      <c r="F45" s="57"/>
      <c r="G45" s="57"/>
      <c r="H45" s="28">
        <f t="shared" ref="H45:S45" si="6">SUM(H18:H44,0)</f>
        <v>209037.36799999999</v>
      </c>
      <c r="I45" s="28">
        <f t="shared" si="6"/>
        <v>205493.09699999998</v>
      </c>
      <c r="J45" s="28">
        <f>SUM(J18:J44,0)</f>
        <v>48790.299000000006</v>
      </c>
      <c r="K45" s="28">
        <f t="shared" si="6"/>
        <v>48679.027999999998</v>
      </c>
      <c r="L45" s="28">
        <f>SUM(L18:L44,0)</f>
        <v>114049.448</v>
      </c>
      <c r="M45" s="28">
        <f t="shared" si="6"/>
        <v>114044.59299999999</v>
      </c>
      <c r="N45" s="28">
        <f>SUM(N18:N44,0)</f>
        <v>156851.61299999998</v>
      </c>
      <c r="O45" s="28">
        <f>SUM(O18:O44,0)</f>
        <v>156838.95499999999</v>
      </c>
      <c r="P45" s="28">
        <f>SUM(P18:P44,0)</f>
        <v>227378.16000000003</v>
      </c>
      <c r="Q45" s="28">
        <f t="shared" si="6"/>
        <v>227278.08700000006</v>
      </c>
      <c r="R45" s="28">
        <f t="shared" si="6"/>
        <v>195459.59400000001</v>
      </c>
      <c r="S45" s="28">
        <f t="shared" si="6"/>
        <v>195459.59400000001</v>
      </c>
      <c r="T45" s="48"/>
      <c r="V45" s="58">
        <f t="shared" si="1"/>
        <v>99.955988297204996</v>
      </c>
    </row>
    <row r="46" spans="1:22" s="55" customFormat="1" x14ac:dyDescent="0.2">
      <c r="A46" s="106"/>
      <c r="B46" s="106"/>
      <c r="C46" s="108" t="s">
        <v>135</v>
      </c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10"/>
      <c r="V46" s="58" t="e">
        <f t="shared" si="1"/>
        <v>#DIV/0!</v>
      </c>
    </row>
    <row r="47" spans="1:22" s="50" customFormat="1" ht="51" x14ac:dyDescent="0.2">
      <c r="A47" s="106"/>
      <c r="B47" s="106"/>
      <c r="C47" s="47" t="s">
        <v>84</v>
      </c>
      <c r="D47" s="44" t="s">
        <v>88</v>
      </c>
      <c r="E47" s="44" t="s">
        <v>127</v>
      </c>
      <c r="F47" s="44" t="s">
        <v>186</v>
      </c>
      <c r="G47" s="44" t="s">
        <v>159</v>
      </c>
      <c r="H47" s="29">
        <v>119182.796</v>
      </c>
      <c r="I47" s="29">
        <f>117876.982-0.001</f>
        <v>117876.981</v>
      </c>
      <c r="J47" s="29">
        <v>40938.868000000002</v>
      </c>
      <c r="K47" s="29">
        <v>40938.868000000002</v>
      </c>
      <c r="L47" s="29">
        <v>69603.430999999997</v>
      </c>
      <c r="M47" s="29">
        <v>69603.430999999997</v>
      </c>
      <c r="N47" s="29">
        <v>84046.467999999993</v>
      </c>
      <c r="O47" s="29">
        <v>84045.928</v>
      </c>
      <c r="P47" s="29">
        <v>118980.18</v>
      </c>
      <c r="Q47" s="29">
        <v>118953.39</v>
      </c>
      <c r="R47" s="29">
        <v>119637.004</v>
      </c>
      <c r="S47" s="29">
        <v>119637.004</v>
      </c>
      <c r="T47" s="48" t="s">
        <v>255</v>
      </c>
      <c r="U47" s="49">
        <f t="shared" ref="U47:U73" si="7">ROUND(M47/P47,2)</f>
        <v>0.59</v>
      </c>
      <c r="V47" s="58">
        <f t="shared" si="1"/>
        <v>99.977483644754955</v>
      </c>
    </row>
    <row r="48" spans="1:22" s="50" customFormat="1" ht="51" x14ac:dyDescent="0.2">
      <c r="A48" s="106"/>
      <c r="B48" s="106"/>
      <c r="C48" s="47" t="s">
        <v>84</v>
      </c>
      <c r="D48" s="44" t="s">
        <v>88</v>
      </c>
      <c r="E48" s="44" t="s">
        <v>127</v>
      </c>
      <c r="F48" s="44" t="s">
        <v>186</v>
      </c>
      <c r="G48" s="44" t="s">
        <v>161</v>
      </c>
      <c r="H48" s="29">
        <v>7208.857</v>
      </c>
      <c r="I48" s="29">
        <v>7171.2290000000003</v>
      </c>
      <c r="J48" s="29">
        <v>3054.08</v>
      </c>
      <c r="K48" s="29">
        <v>3054.08</v>
      </c>
      <c r="L48" s="29">
        <v>5187.3850000000002</v>
      </c>
      <c r="M48" s="29">
        <v>5187.3850000000002</v>
      </c>
      <c r="N48" s="29">
        <v>5915.3789999999999</v>
      </c>
      <c r="O48" s="29">
        <v>5915.3440000000001</v>
      </c>
      <c r="P48" s="29">
        <v>7937.9160000000002</v>
      </c>
      <c r="Q48" s="29">
        <v>7936.9930000000004</v>
      </c>
      <c r="R48" s="29">
        <v>7975.1930000000002</v>
      </c>
      <c r="S48" s="29">
        <v>7975.1930000000002</v>
      </c>
      <c r="T48" s="48" t="s">
        <v>255</v>
      </c>
      <c r="U48" s="49">
        <f t="shared" si="7"/>
        <v>0.65</v>
      </c>
      <c r="V48" s="58">
        <f t="shared" si="1"/>
        <v>99.988372262946598</v>
      </c>
    </row>
    <row r="49" spans="1:22" s="50" customFormat="1" ht="51" x14ac:dyDescent="0.2">
      <c r="A49" s="106"/>
      <c r="B49" s="106"/>
      <c r="C49" s="47" t="s">
        <v>84</v>
      </c>
      <c r="D49" s="44" t="s">
        <v>88</v>
      </c>
      <c r="E49" s="44" t="s">
        <v>127</v>
      </c>
      <c r="F49" s="44" t="s">
        <v>178</v>
      </c>
      <c r="G49" s="44" t="s">
        <v>159</v>
      </c>
      <c r="H49" s="29">
        <v>9623.8729999999996</v>
      </c>
      <c r="I49" s="29">
        <v>9623.8729999999996</v>
      </c>
      <c r="J49" s="29">
        <v>5575.4849999999997</v>
      </c>
      <c r="K49" s="29">
        <v>5575.4849999999997</v>
      </c>
      <c r="L49" s="29">
        <v>11150.982</v>
      </c>
      <c r="M49" s="29">
        <v>11150.982</v>
      </c>
      <c r="N49" s="29">
        <v>17372.687999999998</v>
      </c>
      <c r="O49" s="29">
        <v>17372.687999999998</v>
      </c>
      <c r="P49" s="29">
        <v>19920.947</v>
      </c>
      <c r="Q49" s="29">
        <v>19920.947</v>
      </c>
      <c r="R49" s="29"/>
      <c r="S49" s="29"/>
      <c r="T49" s="48" t="s">
        <v>255</v>
      </c>
      <c r="U49" s="49">
        <f t="shared" si="7"/>
        <v>0.56000000000000005</v>
      </c>
      <c r="V49" s="58">
        <f t="shared" si="1"/>
        <v>100</v>
      </c>
    </row>
    <row r="50" spans="1:22" s="50" customFormat="1" ht="51" x14ac:dyDescent="0.2">
      <c r="A50" s="106"/>
      <c r="B50" s="106"/>
      <c r="C50" s="47" t="s">
        <v>84</v>
      </c>
      <c r="D50" s="44" t="s">
        <v>88</v>
      </c>
      <c r="E50" s="44" t="s">
        <v>127</v>
      </c>
      <c r="F50" s="44" t="s">
        <v>178</v>
      </c>
      <c r="G50" s="44" t="s">
        <v>161</v>
      </c>
      <c r="H50" s="29">
        <v>676.26099999999997</v>
      </c>
      <c r="I50" s="29">
        <v>676.26099999999997</v>
      </c>
      <c r="J50" s="29">
        <v>428.80200000000002</v>
      </c>
      <c r="K50" s="29">
        <v>428.80200000000002</v>
      </c>
      <c r="L50" s="29">
        <v>857.60199999999998</v>
      </c>
      <c r="M50" s="29">
        <v>857.60199999999998</v>
      </c>
      <c r="N50" s="29">
        <v>1310.296</v>
      </c>
      <c r="O50" s="29">
        <v>1310.296</v>
      </c>
      <c r="P50" s="29">
        <v>1613.588</v>
      </c>
      <c r="Q50" s="29">
        <v>1613.588</v>
      </c>
      <c r="R50" s="29"/>
      <c r="S50" s="29"/>
      <c r="T50" s="48" t="s">
        <v>255</v>
      </c>
      <c r="U50" s="49">
        <f t="shared" si="7"/>
        <v>0.53</v>
      </c>
      <c r="V50" s="58">
        <f t="shared" si="1"/>
        <v>100</v>
      </c>
    </row>
    <row r="51" spans="1:22" s="50" customFormat="1" ht="51" x14ac:dyDescent="0.2">
      <c r="A51" s="106"/>
      <c r="B51" s="106"/>
      <c r="C51" s="47" t="s">
        <v>84</v>
      </c>
      <c r="D51" s="44" t="s">
        <v>88</v>
      </c>
      <c r="E51" s="44" t="s">
        <v>127</v>
      </c>
      <c r="F51" s="44" t="s">
        <v>248</v>
      </c>
      <c r="G51" s="44" t="s">
        <v>159</v>
      </c>
      <c r="H51" s="29"/>
      <c r="I51" s="29"/>
      <c r="J51" s="29"/>
      <c r="K51" s="29"/>
      <c r="L51" s="29"/>
      <c r="M51" s="29"/>
      <c r="N51" s="29"/>
      <c r="O51" s="29"/>
      <c r="P51" s="29">
        <v>609.202</v>
      </c>
      <c r="Q51" s="29">
        <v>609.202</v>
      </c>
      <c r="R51" s="29"/>
      <c r="S51" s="29"/>
      <c r="T51" s="48" t="s">
        <v>255</v>
      </c>
      <c r="U51" s="49">
        <f>ROUND(M51/P51,2)</f>
        <v>0</v>
      </c>
      <c r="V51" s="58">
        <f t="shared" si="1"/>
        <v>100</v>
      </c>
    </row>
    <row r="52" spans="1:22" s="50" customFormat="1" ht="51" x14ac:dyDescent="0.2">
      <c r="A52" s="106"/>
      <c r="B52" s="106"/>
      <c r="C52" s="47" t="s">
        <v>84</v>
      </c>
      <c r="D52" s="44" t="s">
        <v>88</v>
      </c>
      <c r="E52" s="44" t="s">
        <v>127</v>
      </c>
      <c r="F52" s="44" t="s">
        <v>248</v>
      </c>
      <c r="G52" s="44" t="s">
        <v>161</v>
      </c>
      <c r="H52" s="29"/>
      <c r="I52" s="29"/>
      <c r="J52" s="29"/>
      <c r="K52" s="29"/>
      <c r="L52" s="29"/>
      <c r="M52" s="29"/>
      <c r="N52" s="29"/>
      <c r="O52" s="29"/>
      <c r="P52" s="29">
        <v>46.860999999999997</v>
      </c>
      <c r="Q52" s="29">
        <v>46.860999999999997</v>
      </c>
      <c r="R52" s="29"/>
      <c r="S52" s="29"/>
      <c r="T52" s="48" t="s">
        <v>255</v>
      </c>
      <c r="U52" s="49">
        <f>ROUND(M52/P52,2)</f>
        <v>0</v>
      </c>
      <c r="V52" s="58">
        <f t="shared" si="1"/>
        <v>100</v>
      </c>
    </row>
    <row r="53" spans="1:22" s="50" customFormat="1" ht="51" x14ac:dyDescent="0.2">
      <c r="A53" s="106"/>
      <c r="B53" s="106"/>
      <c r="C53" s="47" t="s">
        <v>84</v>
      </c>
      <c r="D53" s="44" t="s">
        <v>88</v>
      </c>
      <c r="E53" s="44" t="s">
        <v>127</v>
      </c>
      <c r="F53" s="44" t="s">
        <v>242</v>
      </c>
      <c r="G53" s="44" t="s">
        <v>159</v>
      </c>
      <c r="H53" s="29"/>
      <c r="I53" s="29"/>
      <c r="J53" s="29">
        <v>104.515</v>
      </c>
      <c r="K53" s="29">
        <v>104.515</v>
      </c>
      <c r="L53" s="29">
        <v>668.01700000000005</v>
      </c>
      <c r="M53" s="29">
        <v>668.01700000000005</v>
      </c>
      <c r="N53" s="29">
        <v>810.72799999999995</v>
      </c>
      <c r="O53" s="29">
        <v>810.72799999999995</v>
      </c>
      <c r="P53" s="29">
        <v>775.84199999999998</v>
      </c>
      <c r="Q53" s="29">
        <v>775.84199999999998</v>
      </c>
      <c r="R53" s="29"/>
      <c r="S53" s="29"/>
      <c r="T53" s="48" t="s">
        <v>255</v>
      </c>
      <c r="U53" s="49">
        <f>ROUND(M53/P53,2)</f>
        <v>0.86</v>
      </c>
      <c r="V53" s="58">
        <f t="shared" si="1"/>
        <v>100</v>
      </c>
    </row>
    <row r="54" spans="1:22" s="50" customFormat="1" ht="51" x14ac:dyDescent="0.2">
      <c r="A54" s="106"/>
      <c r="B54" s="106"/>
      <c r="C54" s="47" t="s">
        <v>84</v>
      </c>
      <c r="D54" s="44" t="s">
        <v>88</v>
      </c>
      <c r="E54" s="44" t="s">
        <v>127</v>
      </c>
      <c r="F54" s="44" t="s">
        <v>177</v>
      </c>
      <c r="G54" s="44" t="s">
        <v>159</v>
      </c>
      <c r="H54" s="29">
        <v>41290.231</v>
      </c>
      <c r="I54" s="29">
        <v>41290.231</v>
      </c>
      <c r="J54" s="29">
        <v>8327.9079999999994</v>
      </c>
      <c r="K54" s="29">
        <v>8327.9079999999994</v>
      </c>
      <c r="L54" s="29">
        <v>24726.333999999999</v>
      </c>
      <c r="M54" s="29">
        <v>24726.333999999999</v>
      </c>
      <c r="N54" s="29">
        <v>31141.435000000001</v>
      </c>
      <c r="O54" s="29">
        <v>31141.435000000001</v>
      </c>
      <c r="P54" s="29">
        <v>42469.737999999998</v>
      </c>
      <c r="Q54" s="29">
        <v>42469.737999999998</v>
      </c>
      <c r="R54" s="29">
        <v>39838.447999999997</v>
      </c>
      <c r="S54" s="29">
        <v>39838.447999999997</v>
      </c>
      <c r="T54" s="48" t="s">
        <v>255</v>
      </c>
      <c r="U54" s="49">
        <f>ROUND(M54/P54,2)</f>
        <v>0.57999999999999996</v>
      </c>
      <c r="V54" s="58">
        <f t="shared" si="1"/>
        <v>100</v>
      </c>
    </row>
    <row r="55" spans="1:22" s="50" customFormat="1" ht="51" x14ac:dyDescent="0.2">
      <c r="A55" s="106"/>
      <c r="B55" s="106"/>
      <c r="C55" s="47" t="s">
        <v>84</v>
      </c>
      <c r="D55" s="44" t="s">
        <v>88</v>
      </c>
      <c r="E55" s="44" t="s">
        <v>127</v>
      </c>
      <c r="F55" s="44" t="s">
        <v>177</v>
      </c>
      <c r="G55" s="44" t="s">
        <v>161</v>
      </c>
      <c r="H55" s="29">
        <v>4933.1689999999999</v>
      </c>
      <c r="I55" s="29">
        <v>4933.1689999999999</v>
      </c>
      <c r="J55" s="29">
        <v>969.28</v>
      </c>
      <c r="K55" s="29">
        <v>969.28</v>
      </c>
      <c r="L55" s="29">
        <v>2820.0729999999999</v>
      </c>
      <c r="M55" s="29">
        <v>2820.0729999999999</v>
      </c>
      <c r="N55" s="29">
        <v>3617.616</v>
      </c>
      <c r="O55" s="29">
        <v>3617.616</v>
      </c>
      <c r="P55" s="29">
        <v>5264.3720000000003</v>
      </c>
      <c r="Q55" s="29">
        <v>5264.3720000000003</v>
      </c>
      <c r="R55" s="29">
        <v>4732.4520000000002</v>
      </c>
      <c r="S55" s="29">
        <v>4732.4520000000002</v>
      </c>
      <c r="T55" s="48" t="s">
        <v>255</v>
      </c>
      <c r="U55" s="49">
        <f>ROUND(M55/P55,2)</f>
        <v>0.54</v>
      </c>
      <c r="V55" s="58">
        <f t="shared" si="1"/>
        <v>100</v>
      </c>
    </row>
    <row r="56" spans="1:22" s="50" customFormat="1" ht="25.5" hidden="1" customHeight="1" x14ac:dyDescent="0.2">
      <c r="A56" s="106"/>
      <c r="B56" s="106"/>
      <c r="C56" s="47" t="s">
        <v>84</v>
      </c>
      <c r="D56" s="44" t="s">
        <v>88</v>
      </c>
      <c r="E56" s="44" t="s">
        <v>127</v>
      </c>
      <c r="F56" s="44" t="s">
        <v>118</v>
      </c>
      <c r="G56" s="44" t="s">
        <v>160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48" t="s">
        <v>255</v>
      </c>
      <c r="U56" s="49" t="e">
        <f t="shared" si="7"/>
        <v>#DIV/0!</v>
      </c>
      <c r="V56" s="58" t="e">
        <f t="shared" si="1"/>
        <v>#DIV/0!</v>
      </c>
    </row>
    <row r="57" spans="1:22" s="50" customFormat="1" ht="27.75" customHeight="1" x14ac:dyDescent="0.2">
      <c r="A57" s="106"/>
      <c r="B57" s="106"/>
      <c r="C57" s="47" t="s">
        <v>84</v>
      </c>
      <c r="D57" s="44" t="s">
        <v>88</v>
      </c>
      <c r="E57" s="44" t="s">
        <v>127</v>
      </c>
      <c r="F57" s="44" t="s">
        <v>193</v>
      </c>
      <c r="G57" s="44" t="s">
        <v>160</v>
      </c>
      <c r="H57" s="29">
        <v>3755.837</v>
      </c>
      <c r="I57" s="29">
        <v>3546.6680000000001</v>
      </c>
      <c r="J57" s="29">
        <v>730.31799999999998</v>
      </c>
      <c r="K57" s="29">
        <v>730.31799999999998</v>
      </c>
      <c r="L57" s="29">
        <v>1071.7829999999999</v>
      </c>
      <c r="M57" s="29">
        <v>1071.7829999999999</v>
      </c>
      <c r="N57" s="29">
        <v>1768.8340000000001</v>
      </c>
      <c r="O57" s="29">
        <v>1768.8330000000001</v>
      </c>
      <c r="P57" s="29">
        <v>1902.633</v>
      </c>
      <c r="Q57" s="29">
        <v>1895.4459999999999</v>
      </c>
      <c r="R57" s="29">
        <v>1824.0909999999999</v>
      </c>
      <c r="S57" s="29">
        <v>1824.0909999999999</v>
      </c>
      <c r="T57" s="48" t="s">
        <v>255</v>
      </c>
      <c r="U57" s="49">
        <f t="shared" si="7"/>
        <v>0.56000000000000005</v>
      </c>
      <c r="V57" s="58">
        <f t="shared" si="1"/>
        <v>99.622260309791741</v>
      </c>
    </row>
    <row r="58" spans="1:22" s="50" customFormat="1" ht="51" x14ac:dyDescent="0.2">
      <c r="A58" s="106"/>
      <c r="B58" s="106"/>
      <c r="C58" s="47" t="s">
        <v>84</v>
      </c>
      <c r="D58" s="44" t="s">
        <v>88</v>
      </c>
      <c r="E58" s="44" t="s">
        <v>127</v>
      </c>
      <c r="F58" s="44" t="s">
        <v>193</v>
      </c>
      <c r="G58" s="44" t="s">
        <v>162</v>
      </c>
      <c r="H58" s="29">
        <v>130</v>
      </c>
      <c r="I58" s="29">
        <v>130</v>
      </c>
      <c r="J58" s="29"/>
      <c r="K58" s="29"/>
      <c r="L58" s="29"/>
      <c r="M58" s="29"/>
      <c r="N58" s="29">
        <v>197.68100000000001</v>
      </c>
      <c r="O58" s="29">
        <v>197.68100000000001</v>
      </c>
      <c r="P58" s="29">
        <v>197.68100000000001</v>
      </c>
      <c r="Q58" s="29">
        <v>197.68100000000001</v>
      </c>
      <c r="R58" s="29"/>
      <c r="S58" s="29"/>
      <c r="T58" s="48" t="s">
        <v>255</v>
      </c>
      <c r="U58" s="49">
        <f t="shared" si="7"/>
        <v>0</v>
      </c>
      <c r="V58" s="58">
        <f t="shared" si="1"/>
        <v>100</v>
      </c>
    </row>
    <row r="59" spans="1:22" s="50" customFormat="1" ht="51" x14ac:dyDescent="0.2">
      <c r="A59" s="106"/>
      <c r="B59" s="106"/>
      <c r="C59" s="47" t="s">
        <v>84</v>
      </c>
      <c r="D59" s="44" t="s">
        <v>88</v>
      </c>
      <c r="E59" s="44" t="s">
        <v>127</v>
      </c>
      <c r="F59" s="44" t="s">
        <v>183</v>
      </c>
      <c r="G59" s="44" t="s">
        <v>159</v>
      </c>
      <c r="H59" s="29">
        <v>197558.96100000001</v>
      </c>
      <c r="I59" s="29">
        <v>197558.96100000001</v>
      </c>
      <c r="J59" s="29">
        <v>35502.957999999999</v>
      </c>
      <c r="K59" s="29">
        <v>35502.957999999999</v>
      </c>
      <c r="L59" s="29">
        <v>117673.477</v>
      </c>
      <c r="M59" s="29">
        <v>117673.477</v>
      </c>
      <c r="N59" s="29">
        <v>126420.598</v>
      </c>
      <c r="O59" s="29">
        <v>126420.598</v>
      </c>
      <c r="P59" s="29">
        <v>182763.73699999999</v>
      </c>
      <c r="Q59" s="29">
        <v>182763.73699999999</v>
      </c>
      <c r="R59" s="29">
        <v>200361.56700000001</v>
      </c>
      <c r="S59" s="29">
        <v>200361.56700000001</v>
      </c>
      <c r="T59" s="48" t="s">
        <v>255</v>
      </c>
      <c r="U59" s="49">
        <f t="shared" si="7"/>
        <v>0.64</v>
      </c>
      <c r="V59" s="58">
        <f t="shared" si="1"/>
        <v>100</v>
      </c>
    </row>
    <row r="60" spans="1:22" s="50" customFormat="1" ht="51" x14ac:dyDescent="0.2">
      <c r="A60" s="106"/>
      <c r="B60" s="106"/>
      <c r="C60" s="47" t="s">
        <v>84</v>
      </c>
      <c r="D60" s="44" t="s">
        <v>88</v>
      </c>
      <c r="E60" s="44" t="s">
        <v>127</v>
      </c>
      <c r="F60" s="44" t="s">
        <v>183</v>
      </c>
      <c r="G60" s="44" t="s">
        <v>160</v>
      </c>
      <c r="H60" s="29">
        <v>7996.433</v>
      </c>
      <c r="I60" s="29">
        <v>7996.433</v>
      </c>
      <c r="J60" s="29">
        <v>70</v>
      </c>
      <c r="K60" s="29">
        <v>70</v>
      </c>
      <c r="L60" s="29">
        <v>1471</v>
      </c>
      <c r="M60" s="29">
        <v>1471</v>
      </c>
      <c r="N60" s="29">
        <v>7706.3019999999997</v>
      </c>
      <c r="O60" s="29">
        <v>7706.3019999999997</v>
      </c>
      <c r="P60" s="29">
        <v>7706.3019999999997</v>
      </c>
      <c r="Q60" s="29">
        <v>7706.3019999999997</v>
      </c>
      <c r="R60" s="29">
        <v>6418.87</v>
      </c>
      <c r="S60" s="29">
        <v>6418.87</v>
      </c>
      <c r="T60" s="48" t="s">
        <v>255</v>
      </c>
      <c r="U60" s="49">
        <f>ROUND(M60/P60,2)</f>
        <v>0.19</v>
      </c>
      <c r="V60" s="58">
        <f t="shared" si="1"/>
        <v>100</v>
      </c>
    </row>
    <row r="61" spans="1:22" s="50" customFormat="1" ht="51" x14ac:dyDescent="0.2">
      <c r="A61" s="106"/>
      <c r="B61" s="106"/>
      <c r="C61" s="47" t="s">
        <v>84</v>
      </c>
      <c r="D61" s="44" t="s">
        <v>88</v>
      </c>
      <c r="E61" s="44" t="s">
        <v>127</v>
      </c>
      <c r="F61" s="44" t="s">
        <v>183</v>
      </c>
      <c r="G61" s="44" t="s">
        <v>161</v>
      </c>
      <c r="H61" s="29">
        <v>19173.223000000002</v>
      </c>
      <c r="I61" s="29">
        <v>19173.223000000002</v>
      </c>
      <c r="J61" s="29">
        <v>3035.9290000000001</v>
      </c>
      <c r="K61" s="29">
        <v>3035.9290000000001</v>
      </c>
      <c r="L61" s="29">
        <v>9904.2129999999997</v>
      </c>
      <c r="M61" s="29">
        <v>9904.2129999999997</v>
      </c>
      <c r="N61" s="29">
        <v>11280.991</v>
      </c>
      <c r="O61" s="29">
        <v>11280.991</v>
      </c>
      <c r="P61" s="29">
        <v>15511.457</v>
      </c>
      <c r="Q61" s="29">
        <v>15511.457</v>
      </c>
      <c r="R61" s="29">
        <v>19073.927</v>
      </c>
      <c r="S61" s="29">
        <v>19073.927</v>
      </c>
      <c r="T61" s="48" t="s">
        <v>255</v>
      </c>
      <c r="U61" s="49">
        <f t="shared" si="7"/>
        <v>0.64</v>
      </c>
      <c r="V61" s="58">
        <f t="shared" si="1"/>
        <v>100</v>
      </c>
    </row>
    <row r="62" spans="1:22" s="50" customFormat="1" ht="51" x14ac:dyDescent="0.2">
      <c r="A62" s="106"/>
      <c r="B62" s="106"/>
      <c r="C62" s="47" t="s">
        <v>84</v>
      </c>
      <c r="D62" s="44" t="s">
        <v>88</v>
      </c>
      <c r="E62" s="44" t="s">
        <v>127</v>
      </c>
      <c r="F62" s="44" t="s">
        <v>183</v>
      </c>
      <c r="G62" s="44" t="s">
        <v>162</v>
      </c>
      <c r="H62" s="29">
        <v>644.28300000000002</v>
      </c>
      <c r="I62" s="29">
        <v>644.28300000000002</v>
      </c>
      <c r="J62" s="29">
        <v>0</v>
      </c>
      <c r="K62" s="29">
        <v>0</v>
      </c>
      <c r="L62" s="29">
        <v>200</v>
      </c>
      <c r="M62" s="29">
        <v>200</v>
      </c>
      <c r="N62" s="29">
        <v>628.00400000000002</v>
      </c>
      <c r="O62" s="29">
        <v>628.00400000000002</v>
      </c>
      <c r="P62" s="29">
        <v>628.00400000000002</v>
      </c>
      <c r="Q62" s="29">
        <v>628.00400000000002</v>
      </c>
      <c r="R62" s="29">
        <v>533.33600000000001</v>
      </c>
      <c r="S62" s="29">
        <v>533.33600000000001</v>
      </c>
      <c r="T62" s="48" t="s">
        <v>255</v>
      </c>
      <c r="U62" s="49">
        <f>ROUND(M62/P62,2)</f>
        <v>0.32</v>
      </c>
      <c r="V62" s="58">
        <f t="shared" si="1"/>
        <v>100</v>
      </c>
    </row>
    <row r="63" spans="1:22" s="50" customFormat="1" ht="51" x14ac:dyDescent="0.2">
      <c r="A63" s="106"/>
      <c r="B63" s="106"/>
      <c r="C63" s="47" t="s">
        <v>84</v>
      </c>
      <c r="D63" s="44" t="s">
        <v>88</v>
      </c>
      <c r="E63" s="44" t="s">
        <v>203</v>
      </c>
      <c r="F63" s="44" t="s">
        <v>183</v>
      </c>
      <c r="G63" s="44" t="s">
        <v>159</v>
      </c>
      <c r="H63" s="29"/>
      <c r="I63" s="29"/>
      <c r="J63" s="29">
        <v>2913.16</v>
      </c>
      <c r="K63" s="29">
        <v>2913.16</v>
      </c>
      <c r="L63" s="29">
        <v>10996.448</v>
      </c>
      <c r="M63" s="29">
        <v>10996.448</v>
      </c>
      <c r="N63" s="29">
        <v>12137.986000000001</v>
      </c>
      <c r="O63" s="29">
        <v>12137.986000000001</v>
      </c>
      <c r="P63" s="29">
        <v>19252.186000000002</v>
      </c>
      <c r="Q63" s="29">
        <v>19252.186000000002</v>
      </c>
      <c r="R63" s="29"/>
      <c r="S63" s="29"/>
      <c r="T63" s="48" t="s">
        <v>255</v>
      </c>
      <c r="U63" s="49">
        <f>ROUND(M63/P63,2)</f>
        <v>0.56999999999999995</v>
      </c>
      <c r="V63" s="58">
        <f t="shared" si="1"/>
        <v>100</v>
      </c>
    </row>
    <row r="64" spans="1:22" s="50" customFormat="1" ht="51" x14ac:dyDescent="0.2">
      <c r="A64" s="106"/>
      <c r="B64" s="106"/>
      <c r="C64" s="47" t="s">
        <v>84</v>
      </c>
      <c r="D64" s="44" t="s">
        <v>88</v>
      </c>
      <c r="E64" s="44" t="s">
        <v>203</v>
      </c>
      <c r="F64" s="44" t="s">
        <v>183</v>
      </c>
      <c r="G64" s="44" t="s">
        <v>161</v>
      </c>
      <c r="H64" s="29"/>
      <c r="I64" s="29"/>
      <c r="J64" s="29">
        <v>392.35599999999999</v>
      </c>
      <c r="K64" s="29">
        <v>392.35599999999999</v>
      </c>
      <c r="L64" s="29">
        <v>1781.68</v>
      </c>
      <c r="M64" s="29">
        <v>1781.68</v>
      </c>
      <c r="N64" s="29">
        <v>1844.5409999999999</v>
      </c>
      <c r="O64" s="29">
        <v>1844.5409999999999</v>
      </c>
      <c r="P64" s="29">
        <v>2650.8229999999999</v>
      </c>
      <c r="Q64" s="29">
        <v>2650.8229999999999</v>
      </c>
      <c r="R64" s="29"/>
      <c r="S64" s="29"/>
      <c r="T64" s="48" t="s">
        <v>255</v>
      </c>
      <c r="U64" s="49">
        <f>ROUND(M64/P64,2)</f>
        <v>0.67</v>
      </c>
      <c r="V64" s="58">
        <f t="shared" si="1"/>
        <v>100</v>
      </c>
    </row>
    <row r="65" spans="1:22" s="50" customFormat="1" ht="31.5" customHeight="1" x14ac:dyDescent="0.2">
      <c r="A65" s="106"/>
      <c r="B65" s="106"/>
      <c r="C65" s="47" t="s">
        <v>84</v>
      </c>
      <c r="D65" s="44" t="s">
        <v>88</v>
      </c>
      <c r="E65" s="44" t="s">
        <v>124</v>
      </c>
      <c r="F65" s="44" t="s">
        <v>184</v>
      </c>
      <c r="G65" s="44" t="s">
        <v>159</v>
      </c>
      <c r="H65" s="29">
        <v>11043.39</v>
      </c>
      <c r="I65" s="29">
        <v>11043.39</v>
      </c>
      <c r="J65" s="29">
        <v>3334</v>
      </c>
      <c r="K65" s="29">
        <v>3334</v>
      </c>
      <c r="L65" s="29">
        <v>6105.9930000000004</v>
      </c>
      <c r="M65" s="29">
        <v>6105.9930000000004</v>
      </c>
      <c r="N65" s="29">
        <v>6645.9930000000004</v>
      </c>
      <c r="O65" s="29">
        <v>6645.9930000000004</v>
      </c>
      <c r="P65" s="29">
        <v>11954.674999999999</v>
      </c>
      <c r="Q65" s="29">
        <v>11954.636</v>
      </c>
      <c r="R65" s="29">
        <v>15017.579</v>
      </c>
      <c r="S65" s="29">
        <v>15017.579</v>
      </c>
      <c r="T65" s="48" t="s">
        <v>255</v>
      </c>
      <c r="U65" s="49">
        <f t="shared" si="7"/>
        <v>0.51</v>
      </c>
      <c r="V65" s="58">
        <f t="shared" si="1"/>
        <v>99.99967376779378</v>
      </c>
    </row>
    <row r="66" spans="1:22" s="50" customFormat="1" ht="31.5" customHeight="1" x14ac:dyDescent="0.2">
      <c r="A66" s="106"/>
      <c r="B66" s="106"/>
      <c r="C66" s="47" t="s">
        <v>84</v>
      </c>
      <c r="D66" s="44" t="s">
        <v>88</v>
      </c>
      <c r="E66" s="44" t="s">
        <v>124</v>
      </c>
      <c r="F66" s="44" t="s">
        <v>184</v>
      </c>
      <c r="G66" s="44" t="s">
        <v>161</v>
      </c>
      <c r="H66" s="29">
        <v>1647.41</v>
      </c>
      <c r="I66" s="29">
        <v>1647.41</v>
      </c>
      <c r="J66" s="29">
        <v>425</v>
      </c>
      <c r="K66" s="29">
        <v>425</v>
      </c>
      <c r="L66" s="29">
        <v>851.76800000000003</v>
      </c>
      <c r="M66" s="29">
        <v>851.76800000000003</v>
      </c>
      <c r="N66" s="29">
        <v>911.76800000000003</v>
      </c>
      <c r="O66" s="29">
        <v>911.76800000000003</v>
      </c>
      <c r="P66" s="29">
        <v>1603.125</v>
      </c>
      <c r="Q66" s="29">
        <v>1603.125</v>
      </c>
      <c r="R66" s="29">
        <v>1858.3209999999999</v>
      </c>
      <c r="S66" s="29">
        <v>1858.3209999999999</v>
      </c>
      <c r="T66" s="48" t="s">
        <v>255</v>
      </c>
      <c r="U66" s="49">
        <f t="shared" si="7"/>
        <v>0.53</v>
      </c>
      <c r="V66" s="58">
        <f t="shared" si="1"/>
        <v>100</v>
      </c>
    </row>
    <row r="67" spans="1:22" s="50" customFormat="1" ht="25.5" customHeight="1" x14ac:dyDescent="0.2">
      <c r="A67" s="106"/>
      <c r="B67" s="106"/>
      <c r="C67" s="47" t="s">
        <v>84</v>
      </c>
      <c r="D67" s="44" t="s">
        <v>88</v>
      </c>
      <c r="E67" s="44" t="s">
        <v>127</v>
      </c>
      <c r="F67" s="44" t="s">
        <v>194</v>
      </c>
      <c r="G67" s="44" t="s">
        <v>160</v>
      </c>
      <c r="H67" s="29">
        <v>2628.3</v>
      </c>
      <c r="I67" s="29">
        <v>2628.3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48"/>
      <c r="U67" s="49" t="e">
        <f t="shared" si="7"/>
        <v>#DIV/0!</v>
      </c>
      <c r="V67" s="58" t="e">
        <f t="shared" si="1"/>
        <v>#DIV/0!</v>
      </c>
    </row>
    <row r="68" spans="1:22" s="50" customFormat="1" ht="25.5" hidden="1" customHeight="1" x14ac:dyDescent="0.2">
      <c r="A68" s="106"/>
      <c r="B68" s="106"/>
      <c r="C68" s="47" t="s">
        <v>84</v>
      </c>
      <c r="D68" s="44" t="s">
        <v>88</v>
      </c>
      <c r="E68" s="44" t="s">
        <v>127</v>
      </c>
      <c r="F68" s="44" t="s">
        <v>194</v>
      </c>
      <c r="G68" s="44" t="s">
        <v>162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48" t="s">
        <v>241</v>
      </c>
      <c r="U68" s="49" t="e">
        <f t="shared" si="7"/>
        <v>#DIV/0!</v>
      </c>
      <c r="V68" s="58" t="e">
        <f t="shared" si="1"/>
        <v>#DIV/0!</v>
      </c>
    </row>
    <row r="69" spans="1:22" s="50" customFormat="1" ht="25.5" customHeight="1" x14ac:dyDescent="0.2">
      <c r="A69" s="106"/>
      <c r="B69" s="106"/>
      <c r="C69" s="47" t="s">
        <v>84</v>
      </c>
      <c r="D69" s="44" t="s">
        <v>88</v>
      </c>
      <c r="E69" s="44" t="s">
        <v>127</v>
      </c>
      <c r="F69" s="44" t="s">
        <v>196</v>
      </c>
      <c r="G69" s="44" t="s">
        <v>160</v>
      </c>
      <c r="H69" s="29">
        <v>270.06599999999997</v>
      </c>
      <c r="I69" s="29">
        <v>262.83</v>
      </c>
      <c r="J69" s="29">
        <v>0</v>
      </c>
      <c r="K69" s="29">
        <v>0</v>
      </c>
      <c r="L69" s="29">
        <v>22.811</v>
      </c>
      <c r="M69" s="29">
        <v>22.811</v>
      </c>
      <c r="N69" s="29">
        <v>2303.9110000000001</v>
      </c>
      <c r="O69" s="29">
        <v>2303.9110000000001</v>
      </c>
      <c r="P69" s="29">
        <v>2303.9110000000001</v>
      </c>
      <c r="Q69" s="29">
        <v>2303.9110000000001</v>
      </c>
      <c r="R69" s="29">
        <v>270.13200000000001</v>
      </c>
      <c r="S69" s="29">
        <v>270.13200000000001</v>
      </c>
      <c r="T69" s="48" t="s">
        <v>255</v>
      </c>
      <c r="U69" s="49">
        <f t="shared" si="7"/>
        <v>0.01</v>
      </c>
      <c r="V69" s="58">
        <f t="shared" si="1"/>
        <v>100</v>
      </c>
    </row>
    <row r="70" spans="1:22" s="50" customFormat="1" ht="25.5" hidden="1" customHeight="1" x14ac:dyDescent="0.2">
      <c r="A70" s="106"/>
      <c r="B70" s="106"/>
      <c r="C70" s="47" t="s">
        <v>84</v>
      </c>
      <c r="D70" s="44" t="s">
        <v>88</v>
      </c>
      <c r="E70" s="44" t="s">
        <v>127</v>
      </c>
      <c r="F70" s="44" t="s">
        <v>216</v>
      </c>
      <c r="G70" s="44" t="s">
        <v>160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48"/>
      <c r="U70" s="49" t="e">
        <f t="shared" si="7"/>
        <v>#DIV/0!</v>
      </c>
      <c r="V70" s="58" t="e">
        <f t="shared" si="1"/>
        <v>#DIV/0!</v>
      </c>
    </row>
    <row r="71" spans="1:22" s="50" customFormat="1" ht="28.5" customHeight="1" x14ac:dyDescent="0.2">
      <c r="A71" s="106"/>
      <c r="B71" s="106"/>
      <c r="C71" s="47" t="s">
        <v>84</v>
      </c>
      <c r="D71" s="44" t="s">
        <v>88</v>
      </c>
      <c r="E71" s="44" t="s">
        <v>127</v>
      </c>
      <c r="F71" s="44" t="s">
        <v>189</v>
      </c>
      <c r="G71" s="44" t="s">
        <v>160</v>
      </c>
      <c r="H71" s="29">
        <v>12.667999999999999</v>
      </c>
      <c r="I71" s="29">
        <v>10.555999999999999</v>
      </c>
      <c r="J71" s="29">
        <v>2.4079999999999999</v>
      </c>
      <c r="K71" s="29">
        <v>2.4079999999999999</v>
      </c>
      <c r="L71" s="29">
        <v>5.9279999999999999</v>
      </c>
      <c r="M71" s="29">
        <v>5.9279999999999999</v>
      </c>
      <c r="N71" s="29">
        <v>16.908999999999999</v>
      </c>
      <c r="O71" s="29">
        <v>16.905000000000001</v>
      </c>
      <c r="P71" s="29">
        <v>21.460999999999999</v>
      </c>
      <c r="Q71" s="29">
        <v>19.391999999999999</v>
      </c>
      <c r="R71" s="29">
        <v>13.433</v>
      </c>
      <c r="S71" s="29">
        <v>13.433</v>
      </c>
      <c r="T71" s="48" t="s">
        <v>256</v>
      </c>
      <c r="U71" s="49">
        <f>ROUND(M71/P71,2)</f>
        <v>0.28000000000000003</v>
      </c>
      <c r="V71" s="58">
        <f t="shared" si="1"/>
        <v>90.359256325427523</v>
      </c>
    </row>
    <row r="72" spans="1:22" s="50" customFormat="1" ht="51" x14ac:dyDescent="0.2">
      <c r="A72" s="106"/>
      <c r="B72" s="106"/>
      <c r="C72" s="47" t="s">
        <v>84</v>
      </c>
      <c r="D72" s="44" t="s">
        <v>88</v>
      </c>
      <c r="E72" s="44" t="s">
        <v>127</v>
      </c>
      <c r="F72" s="44" t="s">
        <v>225</v>
      </c>
      <c r="G72" s="44" t="s">
        <v>159</v>
      </c>
      <c r="H72" s="29">
        <v>1186.7860000000001</v>
      </c>
      <c r="I72" s="29">
        <v>1186.7860000000001</v>
      </c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48"/>
      <c r="U72" s="49" t="e">
        <f>ROUND(M72/P72,2)</f>
        <v>#DIV/0!</v>
      </c>
      <c r="V72" s="58" t="e">
        <f t="shared" si="1"/>
        <v>#DIV/0!</v>
      </c>
    </row>
    <row r="73" spans="1:22" s="50" customFormat="1" ht="25.5" hidden="1" customHeight="1" x14ac:dyDescent="0.2">
      <c r="A73" s="106"/>
      <c r="B73" s="106"/>
      <c r="C73" s="47" t="s">
        <v>84</v>
      </c>
      <c r="D73" s="44" t="s">
        <v>88</v>
      </c>
      <c r="E73" s="44" t="s">
        <v>127</v>
      </c>
      <c r="F73" s="44" t="s">
        <v>128</v>
      </c>
      <c r="G73" s="44" t="s">
        <v>94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48"/>
      <c r="U73" s="49" t="e">
        <f t="shared" si="7"/>
        <v>#DIV/0!</v>
      </c>
      <c r="V73" s="58" t="e">
        <f t="shared" si="1"/>
        <v>#DIV/0!</v>
      </c>
    </row>
    <row r="74" spans="1:22" s="50" customFormat="1" ht="51" x14ac:dyDescent="0.2">
      <c r="A74" s="106"/>
      <c r="B74" s="106"/>
      <c r="C74" s="47" t="s">
        <v>84</v>
      </c>
      <c r="D74" s="44" t="s">
        <v>88</v>
      </c>
      <c r="E74" s="44" t="s">
        <v>127</v>
      </c>
      <c r="F74" s="44" t="s">
        <v>225</v>
      </c>
      <c r="G74" s="44" t="s">
        <v>161</v>
      </c>
      <c r="H74" s="29">
        <v>88.972999999999999</v>
      </c>
      <c r="I74" s="29">
        <v>88.972999999999999</v>
      </c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48"/>
      <c r="U74" s="49" t="e">
        <f>ROUND(M74/P74,2)</f>
        <v>#DIV/0!</v>
      </c>
      <c r="V74" s="58" t="e">
        <f t="shared" si="1"/>
        <v>#DIV/0!</v>
      </c>
    </row>
    <row r="75" spans="1:22" s="50" customFormat="1" ht="51" x14ac:dyDescent="0.2">
      <c r="A75" s="106"/>
      <c r="B75" s="106"/>
      <c r="C75" s="47" t="s">
        <v>84</v>
      </c>
      <c r="D75" s="44" t="s">
        <v>88</v>
      </c>
      <c r="E75" s="44" t="s">
        <v>127</v>
      </c>
      <c r="F75" s="44" t="s">
        <v>195</v>
      </c>
      <c r="G75" s="44" t="s">
        <v>159</v>
      </c>
      <c r="H75" s="29">
        <v>23</v>
      </c>
      <c r="I75" s="29">
        <v>23</v>
      </c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48"/>
      <c r="U75" s="49" t="e">
        <f>ROUND(M75/P75,2)</f>
        <v>#DIV/0!</v>
      </c>
      <c r="V75" s="58" t="e">
        <f t="shared" ref="V75:V138" si="8">Q75/P75*100</f>
        <v>#DIV/0!</v>
      </c>
    </row>
    <row r="76" spans="1:22" s="50" customFormat="1" ht="28.5" customHeight="1" x14ac:dyDescent="0.2">
      <c r="A76" s="106"/>
      <c r="B76" s="106"/>
      <c r="C76" s="47" t="s">
        <v>84</v>
      </c>
      <c r="D76" s="44" t="s">
        <v>88</v>
      </c>
      <c r="E76" s="44" t="s">
        <v>127</v>
      </c>
      <c r="F76" s="44" t="s">
        <v>226</v>
      </c>
      <c r="G76" s="44" t="s">
        <v>160</v>
      </c>
      <c r="H76" s="29">
        <v>1053.374</v>
      </c>
      <c r="I76" s="29">
        <v>984.28</v>
      </c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48"/>
      <c r="U76" s="49"/>
      <c r="V76" s="58" t="e">
        <f t="shared" si="8"/>
        <v>#DIV/0!</v>
      </c>
    </row>
    <row r="77" spans="1:22" s="50" customFormat="1" ht="34.5" hidden="1" customHeight="1" x14ac:dyDescent="0.2">
      <c r="A77" s="106"/>
      <c r="B77" s="106"/>
      <c r="C77" s="47" t="s">
        <v>84</v>
      </c>
      <c r="D77" s="44" t="s">
        <v>88</v>
      </c>
      <c r="E77" s="44" t="s">
        <v>129</v>
      </c>
      <c r="F77" s="44" t="s">
        <v>204</v>
      </c>
      <c r="G77" s="44" t="s">
        <v>159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48"/>
      <c r="U77" s="49"/>
      <c r="V77" s="58" t="e">
        <f t="shared" si="8"/>
        <v>#DIV/0!</v>
      </c>
    </row>
    <row r="78" spans="1:22" s="50" customFormat="1" ht="34.5" hidden="1" customHeight="1" x14ac:dyDescent="0.2">
      <c r="A78" s="106"/>
      <c r="B78" s="106"/>
      <c r="C78" s="47" t="s">
        <v>84</v>
      </c>
      <c r="D78" s="44" t="s">
        <v>88</v>
      </c>
      <c r="E78" s="44" t="s">
        <v>129</v>
      </c>
      <c r="F78" s="44" t="s">
        <v>204</v>
      </c>
      <c r="G78" s="44" t="s">
        <v>161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48"/>
      <c r="U78" s="49"/>
      <c r="V78" s="58" t="e">
        <f t="shared" si="8"/>
        <v>#DIV/0!</v>
      </c>
    </row>
    <row r="79" spans="1:22" s="50" customFormat="1" ht="51" hidden="1" x14ac:dyDescent="0.2">
      <c r="A79" s="106"/>
      <c r="B79" s="106"/>
      <c r="C79" s="47" t="s">
        <v>84</v>
      </c>
      <c r="D79" s="44" t="s">
        <v>88</v>
      </c>
      <c r="E79" s="44" t="s">
        <v>129</v>
      </c>
      <c r="F79" s="44" t="s">
        <v>205</v>
      </c>
      <c r="G79" s="44" t="s">
        <v>159</v>
      </c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48"/>
      <c r="U79" s="49"/>
      <c r="V79" s="58" t="e">
        <f t="shared" si="8"/>
        <v>#DIV/0!</v>
      </c>
    </row>
    <row r="80" spans="1:22" s="50" customFormat="1" ht="51" hidden="1" x14ac:dyDescent="0.2">
      <c r="A80" s="106"/>
      <c r="B80" s="106"/>
      <c r="C80" s="47" t="s">
        <v>84</v>
      </c>
      <c r="D80" s="44" t="s">
        <v>88</v>
      </c>
      <c r="E80" s="44" t="s">
        <v>129</v>
      </c>
      <c r="F80" s="44" t="s">
        <v>205</v>
      </c>
      <c r="G80" s="44" t="s">
        <v>161</v>
      </c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48"/>
      <c r="U80" s="49"/>
      <c r="V80" s="58" t="e">
        <f t="shared" si="8"/>
        <v>#DIV/0!</v>
      </c>
    </row>
    <row r="81" spans="1:22" s="50" customFormat="1" ht="37.5" customHeight="1" x14ac:dyDescent="0.2">
      <c r="A81" s="106"/>
      <c r="B81" s="106"/>
      <c r="C81" s="47" t="s">
        <v>84</v>
      </c>
      <c r="D81" s="44" t="s">
        <v>88</v>
      </c>
      <c r="E81" s="44" t="s">
        <v>127</v>
      </c>
      <c r="F81" s="44" t="s">
        <v>206</v>
      </c>
      <c r="G81" s="44" t="s">
        <v>160</v>
      </c>
      <c r="H81" s="29">
        <v>7121.4</v>
      </c>
      <c r="I81" s="29">
        <v>6538.6419999999998</v>
      </c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48"/>
      <c r="U81" s="49"/>
      <c r="V81" s="58" t="e">
        <f t="shared" si="8"/>
        <v>#DIV/0!</v>
      </c>
    </row>
    <row r="82" spans="1:22" s="50" customFormat="1" ht="25.5" customHeight="1" x14ac:dyDescent="0.2">
      <c r="A82" s="106"/>
      <c r="B82" s="106"/>
      <c r="C82" s="47" t="s">
        <v>84</v>
      </c>
      <c r="D82" s="44" t="s">
        <v>88</v>
      </c>
      <c r="E82" s="44" t="s">
        <v>127</v>
      </c>
      <c r="F82" s="44" t="s">
        <v>237</v>
      </c>
      <c r="G82" s="44" t="s">
        <v>160</v>
      </c>
      <c r="H82" s="29">
        <v>53</v>
      </c>
      <c r="I82" s="29">
        <v>0</v>
      </c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48"/>
      <c r="U82" s="49"/>
      <c r="V82" s="58" t="e">
        <f t="shared" si="8"/>
        <v>#DIV/0!</v>
      </c>
    </row>
    <row r="83" spans="1:22" s="50" customFormat="1" ht="25.5" customHeight="1" x14ac:dyDescent="0.2">
      <c r="A83" s="106"/>
      <c r="B83" s="106"/>
      <c r="C83" s="47" t="s">
        <v>84</v>
      </c>
      <c r="D83" s="44" t="s">
        <v>88</v>
      </c>
      <c r="E83" s="44" t="s">
        <v>127</v>
      </c>
      <c r="F83" s="44" t="s">
        <v>207</v>
      </c>
      <c r="G83" s="44" t="s">
        <v>160</v>
      </c>
      <c r="H83" s="29">
        <v>776.279</v>
      </c>
      <c r="I83" s="29">
        <v>762.52599999999995</v>
      </c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48"/>
      <c r="U83" s="49"/>
      <c r="V83" s="58" t="e">
        <f t="shared" si="8"/>
        <v>#DIV/0!</v>
      </c>
    </row>
    <row r="84" spans="1:22" s="50" customFormat="1" ht="34.5" customHeight="1" x14ac:dyDescent="0.2">
      <c r="A84" s="106"/>
      <c r="B84" s="106"/>
      <c r="C84" s="47" t="s">
        <v>84</v>
      </c>
      <c r="D84" s="44" t="s">
        <v>88</v>
      </c>
      <c r="E84" s="44" t="s">
        <v>129</v>
      </c>
      <c r="F84" s="44" t="s">
        <v>227</v>
      </c>
      <c r="G84" s="44" t="s">
        <v>159</v>
      </c>
      <c r="H84" s="29">
        <v>4796.4979999999996</v>
      </c>
      <c r="I84" s="29">
        <v>4796.4970000000003</v>
      </c>
      <c r="J84" s="29">
        <v>0</v>
      </c>
      <c r="K84" s="29">
        <v>0</v>
      </c>
      <c r="L84" s="29">
        <v>1933.0509999999999</v>
      </c>
      <c r="M84" s="29">
        <v>1933.0450000000001</v>
      </c>
      <c r="N84" s="29">
        <v>4823.1760000000004</v>
      </c>
      <c r="O84" s="29">
        <v>4823.16</v>
      </c>
      <c r="P84" s="29">
        <v>4823.1760000000004</v>
      </c>
      <c r="Q84" s="29">
        <v>4823.16</v>
      </c>
      <c r="R84" s="29">
        <v>4887.6760000000004</v>
      </c>
      <c r="S84" s="29">
        <v>4887.6760000000004</v>
      </c>
      <c r="T84" s="48" t="s">
        <v>255</v>
      </c>
      <c r="U84" s="49"/>
      <c r="V84" s="58">
        <f t="shared" si="8"/>
        <v>99.999668268377505</v>
      </c>
    </row>
    <row r="85" spans="1:22" s="50" customFormat="1" ht="36" customHeight="1" x14ac:dyDescent="0.2">
      <c r="A85" s="106"/>
      <c r="B85" s="106"/>
      <c r="C85" s="47" t="s">
        <v>84</v>
      </c>
      <c r="D85" s="44" t="s">
        <v>88</v>
      </c>
      <c r="E85" s="44" t="s">
        <v>129</v>
      </c>
      <c r="F85" s="44" t="s">
        <v>227</v>
      </c>
      <c r="G85" s="44" t="s">
        <v>161</v>
      </c>
      <c r="H85" s="29">
        <v>95.841999999999999</v>
      </c>
      <c r="I85" s="29">
        <v>95.841999999999999</v>
      </c>
      <c r="J85" s="29">
        <v>0</v>
      </c>
      <c r="K85" s="29">
        <v>0</v>
      </c>
      <c r="L85" s="29">
        <v>106.224</v>
      </c>
      <c r="M85" s="29">
        <v>106.223</v>
      </c>
      <c r="N85" s="29">
        <v>106.224</v>
      </c>
      <c r="O85" s="29">
        <v>106.223</v>
      </c>
      <c r="P85" s="29">
        <v>106.224</v>
      </c>
      <c r="Q85" s="29">
        <v>106.223</v>
      </c>
      <c r="R85" s="29">
        <v>106.224</v>
      </c>
      <c r="S85" s="29">
        <v>106.224</v>
      </c>
      <c r="T85" s="48" t="s">
        <v>255</v>
      </c>
      <c r="U85" s="49"/>
      <c r="V85" s="58">
        <f t="shared" si="8"/>
        <v>99.999058593161621</v>
      </c>
    </row>
    <row r="86" spans="1:22" s="50" customFormat="1" ht="26.25" hidden="1" customHeight="1" x14ac:dyDescent="0.2">
      <c r="A86" s="106"/>
      <c r="B86" s="106"/>
      <c r="C86" s="47" t="s">
        <v>84</v>
      </c>
      <c r="D86" s="44" t="s">
        <v>88</v>
      </c>
      <c r="E86" s="44" t="s">
        <v>129</v>
      </c>
      <c r="F86" s="44" t="s">
        <v>199</v>
      </c>
      <c r="G86" s="44" t="s">
        <v>159</v>
      </c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>
        <f>R86</f>
        <v>0</v>
      </c>
      <c r="T86" s="48" t="s">
        <v>241</v>
      </c>
      <c r="U86" s="49"/>
      <c r="V86" s="58" t="e">
        <f t="shared" si="8"/>
        <v>#DIV/0!</v>
      </c>
    </row>
    <row r="87" spans="1:22" s="50" customFormat="1" ht="51" hidden="1" x14ac:dyDescent="0.2">
      <c r="A87" s="106"/>
      <c r="B87" s="106"/>
      <c r="C87" s="47" t="s">
        <v>84</v>
      </c>
      <c r="D87" s="44" t="s">
        <v>88</v>
      </c>
      <c r="E87" s="44" t="s">
        <v>129</v>
      </c>
      <c r="F87" s="44" t="s">
        <v>199</v>
      </c>
      <c r="G87" s="44" t="s">
        <v>161</v>
      </c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>
        <f>R87</f>
        <v>0</v>
      </c>
      <c r="T87" s="48" t="s">
        <v>241</v>
      </c>
      <c r="U87" s="49"/>
      <c r="V87" s="58" t="e">
        <f t="shared" si="8"/>
        <v>#DIV/0!</v>
      </c>
    </row>
    <row r="88" spans="1:22" s="50" customFormat="1" ht="25.5" hidden="1" customHeight="1" x14ac:dyDescent="0.2">
      <c r="A88" s="106"/>
      <c r="B88" s="106"/>
      <c r="C88" s="47" t="s">
        <v>84</v>
      </c>
      <c r="D88" s="44" t="s">
        <v>88</v>
      </c>
      <c r="E88" s="44" t="s">
        <v>127</v>
      </c>
      <c r="F88" s="44" t="s">
        <v>192</v>
      </c>
      <c r="G88" s="44" t="s">
        <v>162</v>
      </c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>
        <f>R88</f>
        <v>0</v>
      </c>
      <c r="T88" s="48" t="s">
        <v>241</v>
      </c>
      <c r="U88" s="49"/>
      <c r="V88" s="58" t="e">
        <f t="shared" si="8"/>
        <v>#DIV/0!</v>
      </c>
    </row>
    <row r="89" spans="1:22" s="50" customFormat="1" ht="25.5" hidden="1" customHeight="1" x14ac:dyDescent="0.2">
      <c r="A89" s="106"/>
      <c r="B89" s="106"/>
      <c r="C89" s="47" t="s">
        <v>84</v>
      </c>
      <c r="D89" s="44" t="s">
        <v>88</v>
      </c>
      <c r="E89" s="44" t="s">
        <v>127</v>
      </c>
      <c r="F89" s="44" t="s">
        <v>202</v>
      </c>
      <c r="G89" s="44" t="s">
        <v>160</v>
      </c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>
        <f>R89</f>
        <v>0</v>
      </c>
      <c r="T89" s="48" t="s">
        <v>241</v>
      </c>
      <c r="U89" s="49"/>
      <c r="V89" s="58" t="e">
        <f t="shared" si="8"/>
        <v>#DIV/0!</v>
      </c>
    </row>
    <row r="90" spans="1:22" s="50" customFormat="1" ht="51" hidden="1" x14ac:dyDescent="0.2">
      <c r="A90" s="106"/>
      <c r="B90" s="106"/>
      <c r="C90" s="47" t="s">
        <v>84</v>
      </c>
      <c r="D90" s="44" t="s">
        <v>88</v>
      </c>
      <c r="E90" s="44" t="s">
        <v>127</v>
      </c>
      <c r="F90" s="44" t="s">
        <v>173</v>
      </c>
      <c r="G90" s="44" t="s">
        <v>160</v>
      </c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>
        <f>R90</f>
        <v>0</v>
      </c>
      <c r="T90" s="48" t="s">
        <v>241</v>
      </c>
      <c r="U90" s="49"/>
      <c r="V90" s="58" t="e">
        <f t="shared" si="8"/>
        <v>#DIV/0!</v>
      </c>
    </row>
    <row r="91" spans="1:22" s="50" customFormat="1" ht="25.5" hidden="1" customHeight="1" x14ac:dyDescent="0.2">
      <c r="A91" s="106"/>
      <c r="B91" s="106"/>
      <c r="C91" s="47" t="s">
        <v>84</v>
      </c>
      <c r="D91" s="44" t="s">
        <v>88</v>
      </c>
      <c r="E91" s="44" t="s">
        <v>127</v>
      </c>
      <c r="F91" s="44" t="s">
        <v>143</v>
      </c>
      <c r="G91" s="44" t="s">
        <v>144</v>
      </c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48" t="s">
        <v>241</v>
      </c>
      <c r="U91" s="49"/>
      <c r="V91" s="58" t="e">
        <f t="shared" si="8"/>
        <v>#DIV/0!</v>
      </c>
    </row>
    <row r="92" spans="1:22" s="50" customFormat="1" ht="25.5" hidden="1" customHeight="1" x14ac:dyDescent="0.2">
      <c r="A92" s="106"/>
      <c r="B92" s="106"/>
      <c r="C92" s="47" t="s">
        <v>84</v>
      </c>
      <c r="D92" s="44" t="s">
        <v>88</v>
      </c>
      <c r="E92" s="44" t="s">
        <v>127</v>
      </c>
      <c r="F92" s="44" t="s">
        <v>147</v>
      </c>
      <c r="G92" s="44" t="s">
        <v>144</v>
      </c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48" t="s">
        <v>241</v>
      </c>
      <c r="U92" s="49"/>
      <c r="V92" s="58" t="e">
        <f t="shared" si="8"/>
        <v>#DIV/0!</v>
      </c>
    </row>
    <row r="93" spans="1:22" s="50" customFormat="1" ht="25.5" hidden="1" customHeight="1" x14ac:dyDescent="0.2">
      <c r="A93" s="106"/>
      <c r="B93" s="106"/>
      <c r="C93" s="47" t="s">
        <v>84</v>
      </c>
      <c r="D93" s="44" t="s">
        <v>88</v>
      </c>
      <c r="E93" s="44" t="s">
        <v>127</v>
      </c>
      <c r="F93" s="44" t="s">
        <v>148</v>
      </c>
      <c r="G93" s="44" t="s">
        <v>144</v>
      </c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48" t="s">
        <v>241</v>
      </c>
      <c r="U93" s="49"/>
      <c r="V93" s="58" t="e">
        <f t="shared" si="8"/>
        <v>#DIV/0!</v>
      </c>
    </row>
    <row r="94" spans="1:22" s="50" customFormat="1" ht="25.5" hidden="1" customHeight="1" x14ac:dyDescent="0.2">
      <c r="A94" s="106"/>
      <c r="B94" s="106"/>
      <c r="C94" s="47" t="s">
        <v>84</v>
      </c>
      <c r="D94" s="44" t="s">
        <v>88</v>
      </c>
      <c r="E94" s="44" t="s">
        <v>127</v>
      </c>
      <c r="F94" s="44" t="s">
        <v>149</v>
      </c>
      <c r="G94" s="44" t="s">
        <v>144</v>
      </c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48" t="s">
        <v>241</v>
      </c>
      <c r="U94" s="49"/>
      <c r="V94" s="58" t="e">
        <f t="shared" si="8"/>
        <v>#DIV/0!</v>
      </c>
    </row>
    <row r="95" spans="1:22" s="50" customFormat="1" ht="25.5" hidden="1" customHeight="1" x14ac:dyDescent="0.2">
      <c r="A95" s="106"/>
      <c r="B95" s="106"/>
      <c r="C95" s="47" t="s">
        <v>84</v>
      </c>
      <c r="D95" s="44" t="s">
        <v>88</v>
      </c>
      <c r="E95" s="44" t="s">
        <v>127</v>
      </c>
      <c r="F95" s="44" t="s">
        <v>145</v>
      </c>
      <c r="G95" s="44" t="s">
        <v>144</v>
      </c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48" t="s">
        <v>241</v>
      </c>
      <c r="U95" s="49"/>
      <c r="V95" s="58" t="e">
        <f t="shared" si="8"/>
        <v>#DIV/0!</v>
      </c>
    </row>
    <row r="96" spans="1:22" s="50" customFormat="1" ht="25.5" hidden="1" customHeight="1" x14ac:dyDescent="0.2">
      <c r="A96" s="106"/>
      <c r="B96" s="106"/>
      <c r="C96" s="47" t="s">
        <v>84</v>
      </c>
      <c r="D96" s="44" t="s">
        <v>88</v>
      </c>
      <c r="E96" s="44" t="s">
        <v>127</v>
      </c>
      <c r="F96" s="44" t="s">
        <v>150</v>
      </c>
      <c r="G96" s="44" t="s">
        <v>144</v>
      </c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48" t="s">
        <v>241</v>
      </c>
      <c r="U96" s="49"/>
      <c r="V96" s="58" t="e">
        <f t="shared" si="8"/>
        <v>#DIV/0!</v>
      </c>
    </row>
    <row r="97" spans="1:22" s="50" customFormat="1" ht="25.5" hidden="1" customHeight="1" x14ac:dyDescent="0.2">
      <c r="A97" s="106"/>
      <c r="B97" s="106"/>
      <c r="C97" s="47" t="s">
        <v>84</v>
      </c>
      <c r="D97" s="44" t="s">
        <v>88</v>
      </c>
      <c r="E97" s="44" t="s">
        <v>127</v>
      </c>
      <c r="F97" s="44" t="s">
        <v>151</v>
      </c>
      <c r="G97" s="44" t="s">
        <v>144</v>
      </c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48" t="s">
        <v>241</v>
      </c>
      <c r="U97" s="49"/>
      <c r="V97" s="58" t="e">
        <f t="shared" si="8"/>
        <v>#DIV/0!</v>
      </c>
    </row>
    <row r="98" spans="1:22" s="50" customFormat="1" ht="25.5" hidden="1" customHeight="1" x14ac:dyDescent="0.2">
      <c r="A98" s="106"/>
      <c r="B98" s="106"/>
      <c r="C98" s="47" t="s">
        <v>84</v>
      </c>
      <c r="D98" s="44" t="s">
        <v>88</v>
      </c>
      <c r="E98" s="44" t="s">
        <v>127</v>
      </c>
      <c r="F98" s="44" t="s">
        <v>146</v>
      </c>
      <c r="G98" s="44" t="s">
        <v>144</v>
      </c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48" t="s">
        <v>241</v>
      </c>
      <c r="U98" s="49"/>
      <c r="V98" s="58" t="e">
        <f t="shared" si="8"/>
        <v>#DIV/0!</v>
      </c>
    </row>
    <row r="99" spans="1:22" s="50" customFormat="1" ht="25.5" hidden="1" customHeight="1" x14ac:dyDescent="0.2">
      <c r="A99" s="106"/>
      <c r="B99" s="106"/>
      <c r="C99" s="47" t="s">
        <v>84</v>
      </c>
      <c r="D99" s="44" t="s">
        <v>88</v>
      </c>
      <c r="E99" s="44" t="s">
        <v>127</v>
      </c>
      <c r="F99" s="44" t="s">
        <v>153</v>
      </c>
      <c r="G99" s="44" t="s">
        <v>144</v>
      </c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48" t="s">
        <v>241</v>
      </c>
      <c r="U99" s="49"/>
      <c r="V99" s="58" t="e">
        <f t="shared" si="8"/>
        <v>#DIV/0!</v>
      </c>
    </row>
    <row r="100" spans="1:22" s="55" customFormat="1" ht="25.5" x14ac:dyDescent="0.2">
      <c r="A100" s="106"/>
      <c r="B100" s="106"/>
      <c r="C100" s="56" t="s">
        <v>136</v>
      </c>
      <c r="D100" s="57"/>
      <c r="E100" s="57"/>
      <c r="F100" s="57"/>
      <c r="G100" s="57"/>
      <c r="H100" s="28">
        <f>SUM(H47:H99,0)</f>
        <v>442970.91000000003</v>
      </c>
      <c r="I100" s="28">
        <f>SUM(I47:I99,0)</f>
        <v>440690.34400000004</v>
      </c>
      <c r="J100" s="28">
        <f>SUM(J47:J99,0)</f>
        <v>105805.06700000001</v>
      </c>
      <c r="K100" s="28">
        <f t="shared" ref="K100:S100" si="9">SUM(K47:K99,0)</f>
        <v>105805.06700000001</v>
      </c>
      <c r="L100" s="28">
        <f t="shared" si="9"/>
        <v>267138.19999999995</v>
      </c>
      <c r="M100" s="28">
        <f t="shared" si="9"/>
        <v>267138.19299999997</v>
      </c>
      <c r="N100" s="28">
        <f>SUM(N47:N99,0)</f>
        <v>321007.52799999999</v>
      </c>
      <c r="O100" s="28">
        <f t="shared" si="9"/>
        <v>321006.93100000004</v>
      </c>
      <c r="P100" s="28">
        <f t="shared" si="9"/>
        <v>449044.04099999997</v>
      </c>
      <c r="Q100" s="28">
        <f t="shared" si="9"/>
        <v>449007.016</v>
      </c>
      <c r="R100" s="28">
        <f t="shared" si="9"/>
        <v>422548.25300000003</v>
      </c>
      <c r="S100" s="28">
        <f t="shared" si="9"/>
        <v>422548.25300000003</v>
      </c>
      <c r="T100" s="48"/>
      <c r="V100" s="58">
        <f t="shared" si="8"/>
        <v>99.991754706305073</v>
      </c>
    </row>
    <row r="101" spans="1:22" s="55" customFormat="1" x14ac:dyDescent="0.2">
      <c r="A101" s="106"/>
      <c r="B101" s="106"/>
      <c r="C101" s="108" t="s">
        <v>137</v>
      </c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10"/>
      <c r="V101" s="58" t="e">
        <f t="shared" si="8"/>
        <v>#DIV/0!</v>
      </c>
    </row>
    <row r="102" spans="1:22" s="50" customFormat="1" ht="51" hidden="1" x14ac:dyDescent="0.2">
      <c r="A102" s="106"/>
      <c r="B102" s="106"/>
      <c r="C102" s="47" t="s">
        <v>84</v>
      </c>
      <c r="D102" s="44" t="s">
        <v>88</v>
      </c>
      <c r="E102" s="44" t="s">
        <v>127</v>
      </c>
      <c r="F102" s="44" t="s">
        <v>186</v>
      </c>
      <c r="G102" s="44" t="s">
        <v>159</v>
      </c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>
        <f>R102</f>
        <v>0</v>
      </c>
      <c r="T102" s="48"/>
      <c r="U102" s="49" t="e">
        <f t="shared" ref="U102:U115" si="10">ROUND(M102/P102,2)</f>
        <v>#DIV/0!</v>
      </c>
      <c r="V102" s="58" t="e">
        <f t="shared" si="8"/>
        <v>#DIV/0!</v>
      </c>
    </row>
    <row r="103" spans="1:22" s="50" customFormat="1" ht="51" x14ac:dyDescent="0.2">
      <c r="A103" s="106"/>
      <c r="B103" s="106"/>
      <c r="C103" s="47" t="s">
        <v>84</v>
      </c>
      <c r="D103" s="44" t="s">
        <v>88</v>
      </c>
      <c r="E103" s="44" t="s">
        <v>203</v>
      </c>
      <c r="F103" s="44" t="s">
        <v>186</v>
      </c>
      <c r="G103" s="44" t="s">
        <v>159</v>
      </c>
      <c r="H103" s="29">
        <v>36901.928999999996</v>
      </c>
      <c r="I103" s="29">
        <v>36807.904000000002</v>
      </c>
      <c r="J103" s="29">
        <v>9244.2870000000003</v>
      </c>
      <c r="K103" s="29">
        <v>9244.2870000000003</v>
      </c>
      <c r="L103" s="29">
        <v>20331.397000000001</v>
      </c>
      <c r="M103" s="29">
        <v>20331.397000000001</v>
      </c>
      <c r="N103" s="29">
        <v>26640.028999999999</v>
      </c>
      <c r="O103" s="29">
        <v>26639.848999999998</v>
      </c>
      <c r="P103" s="29">
        <v>37491.821000000004</v>
      </c>
      <c r="Q103" s="29">
        <v>37444.853000000003</v>
      </c>
      <c r="R103" s="29">
        <v>37344.504999999997</v>
      </c>
      <c r="S103" s="29">
        <v>37344.504999999997</v>
      </c>
      <c r="T103" s="48" t="s">
        <v>255</v>
      </c>
      <c r="U103" s="49">
        <f t="shared" si="10"/>
        <v>0.54</v>
      </c>
      <c r="V103" s="58">
        <f t="shared" si="8"/>
        <v>99.874724676616793</v>
      </c>
    </row>
    <row r="104" spans="1:22" s="50" customFormat="1" ht="51" hidden="1" x14ac:dyDescent="0.2">
      <c r="A104" s="106"/>
      <c r="B104" s="106"/>
      <c r="C104" s="47" t="s">
        <v>84</v>
      </c>
      <c r="D104" s="44" t="s">
        <v>88</v>
      </c>
      <c r="E104" s="44" t="s">
        <v>127</v>
      </c>
      <c r="F104" s="44" t="s">
        <v>178</v>
      </c>
      <c r="G104" s="44" t="s">
        <v>159</v>
      </c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48" t="s">
        <v>255</v>
      </c>
      <c r="U104" s="49" t="e">
        <f t="shared" si="10"/>
        <v>#DIV/0!</v>
      </c>
      <c r="V104" s="58" t="e">
        <f t="shared" si="8"/>
        <v>#DIV/0!</v>
      </c>
    </row>
    <row r="105" spans="1:22" s="50" customFormat="1" ht="51" x14ac:dyDescent="0.2">
      <c r="A105" s="106"/>
      <c r="B105" s="106"/>
      <c r="C105" s="47" t="s">
        <v>84</v>
      </c>
      <c r="D105" s="44" t="s">
        <v>88</v>
      </c>
      <c r="E105" s="44" t="s">
        <v>203</v>
      </c>
      <c r="F105" s="44" t="s">
        <v>178</v>
      </c>
      <c r="G105" s="44" t="s">
        <v>159</v>
      </c>
      <c r="H105" s="29">
        <v>1545.596</v>
      </c>
      <c r="I105" s="29">
        <v>1545.596</v>
      </c>
      <c r="J105" s="29">
        <v>1076.991</v>
      </c>
      <c r="K105" s="29">
        <v>1076.991</v>
      </c>
      <c r="L105" s="29">
        <v>2153.9879999999998</v>
      </c>
      <c r="M105" s="29">
        <v>2153.9879999999998</v>
      </c>
      <c r="N105" s="29">
        <v>3290.9920000000002</v>
      </c>
      <c r="O105" s="29">
        <v>3290.9920000000002</v>
      </c>
      <c r="P105" s="29">
        <v>5622.4110000000001</v>
      </c>
      <c r="Q105" s="29">
        <v>5622.4110000000001</v>
      </c>
      <c r="R105" s="29"/>
      <c r="S105" s="29"/>
      <c r="T105" s="48" t="s">
        <v>255</v>
      </c>
      <c r="U105" s="49">
        <f t="shared" si="10"/>
        <v>0.38</v>
      </c>
      <c r="V105" s="58">
        <f t="shared" si="8"/>
        <v>100</v>
      </c>
    </row>
    <row r="106" spans="1:22" s="50" customFormat="1" ht="51" x14ac:dyDescent="0.2">
      <c r="A106" s="106"/>
      <c r="B106" s="106"/>
      <c r="C106" s="47" t="s">
        <v>84</v>
      </c>
      <c r="D106" s="44" t="s">
        <v>88</v>
      </c>
      <c r="E106" s="44" t="s">
        <v>203</v>
      </c>
      <c r="F106" s="44" t="s">
        <v>248</v>
      </c>
      <c r="G106" s="44" t="s">
        <v>159</v>
      </c>
      <c r="H106" s="29"/>
      <c r="I106" s="29"/>
      <c r="J106" s="29"/>
      <c r="K106" s="29"/>
      <c r="L106" s="29"/>
      <c r="M106" s="29"/>
      <c r="N106" s="29"/>
      <c r="O106" s="29"/>
      <c r="P106" s="29">
        <v>185.05199999999999</v>
      </c>
      <c r="Q106" s="29">
        <v>185.05199999999999</v>
      </c>
      <c r="R106" s="29"/>
      <c r="S106" s="29"/>
      <c r="T106" s="48" t="s">
        <v>255</v>
      </c>
      <c r="U106" s="49">
        <f>ROUND(M106/P106,2)</f>
        <v>0</v>
      </c>
      <c r="V106" s="58">
        <f t="shared" si="8"/>
        <v>100</v>
      </c>
    </row>
    <row r="107" spans="1:22" s="50" customFormat="1" ht="51" x14ac:dyDescent="0.2">
      <c r="A107" s="106"/>
      <c r="B107" s="106"/>
      <c r="C107" s="47" t="s">
        <v>84</v>
      </c>
      <c r="D107" s="44" t="s">
        <v>88</v>
      </c>
      <c r="E107" s="44" t="s">
        <v>203</v>
      </c>
      <c r="F107" s="44" t="s">
        <v>249</v>
      </c>
      <c r="G107" s="44" t="s">
        <v>159</v>
      </c>
      <c r="H107" s="29"/>
      <c r="I107" s="29"/>
      <c r="J107" s="29"/>
      <c r="K107" s="29"/>
      <c r="L107" s="29"/>
      <c r="M107" s="29"/>
      <c r="N107" s="29"/>
      <c r="O107" s="29"/>
      <c r="P107" s="29">
        <v>35.229999999999997</v>
      </c>
      <c r="Q107" s="29">
        <v>35.229999999999997</v>
      </c>
      <c r="R107" s="29"/>
      <c r="S107" s="29"/>
      <c r="T107" s="48" t="s">
        <v>255</v>
      </c>
      <c r="U107" s="49">
        <f>ROUND(M107/P107,2)</f>
        <v>0</v>
      </c>
      <c r="V107" s="58">
        <f t="shared" si="8"/>
        <v>100</v>
      </c>
    </row>
    <row r="108" spans="1:22" s="50" customFormat="1" ht="51" x14ac:dyDescent="0.2">
      <c r="A108" s="106"/>
      <c r="B108" s="106"/>
      <c r="C108" s="47" t="s">
        <v>84</v>
      </c>
      <c r="D108" s="44" t="s">
        <v>88</v>
      </c>
      <c r="E108" s="44" t="s">
        <v>203</v>
      </c>
      <c r="F108" s="44" t="s">
        <v>250</v>
      </c>
      <c r="G108" s="44" t="s">
        <v>159</v>
      </c>
      <c r="H108" s="29"/>
      <c r="I108" s="29"/>
      <c r="J108" s="29"/>
      <c r="K108" s="29"/>
      <c r="L108" s="29"/>
      <c r="M108" s="29"/>
      <c r="N108" s="29"/>
      <c r="O108" s="29"/>
      <c r="P108" s="29">
        <v>61.377000000000002</v>
      </c>
      <c r="Q108" s="29">
        <v>61.377000000000002</v>
      </c>
      <c r="R108" s="29"/>
      <c r="S108" s="29"/>
      <c r="T108" s="48" t="s">
        <v>255</v>
      </c>
      <c r="U108" s="49">
        <f>ROUND(M108/P108,2)</f>
        <v>0</v>
      </c>
      <c r="V108" s="58">
        <f t="shared" si="8"/>
        <v>100</v>
      </c>
    </row>
    <row r="109" spans="1:22" s="50" customFormat="1" ht="51" x14ac:dyDescent="0.2">
      <c r="A109" s="106"/>
      <c r="B109" s="106"/>
      <c r="C109" s="47" t="s">
        <v>84</v>
      </c>
      <c r="D109" s="44" t="s">
        <v>88</v>
      </c>
      <c r="E109" s="44" t="s">
        <v>203</v>
      </c>
      <c r="F109" s="44" t="s">
        <v>242</v>
      </c>
      <c r="G109" s="44" t="s">
        <v>159</v>
      </c>
      <c r="H109" s="29"/>
      <c r="I109" s="29"/>
      <c r="J109" s="29">
        <v>28.481999999999999</v>
      </c>
      <c r="K109" s="29">
        <v>28.481999999999999</v>
      </c>
      <c r="L109" s="29">
        <v>78.433999999999997</v>
      </c>
      <c r="M109" s="29">
        <v>78.433999999999997</v>
      </c>
      <c r="N109" s="29">
        <v>78.435000000000002</v>
      </c>
      <c r="O109" s="29">
        <v>78.433999999999997</v>
      </c>
      <c r="P109" s="29">
        <v>89.93</v>
      </c>
      <c r="Q109" s="29">
        <v>89.93</v>
      </c>
      <c r="R109" s="29"/>
      <c r="S109" s="29"/>
      <c r="T109" s="48" t="s">
        <v>255</v>
      </c>
      <c r="U109" s="49">
        <f>ROUND(M109/P109,2)</f>
        <v>0.87</v>
      </c>
      <c r="V109" s="58">
        <f t="shared" si="8"/>
        <v>100</v>
      </c>
    </row>
    <row r="110" spans="1:22" s="50" customFormat="1" ht="51" x14ac:dyDescent="0.2">
      <c r="A110" s="106"/>
      <c r="B110" s="106"/>
      <c r="C110" s="47" t="s">
        <v>84</v>
      </c>
      <c r="D110" s="44" t="s">
        <v>88</v>
      </c>
      <c r="E110" s="44" t="s">
        <v>203</v>
      </c>
      <c r="F110" s="44" t="s">
        <v>225</v>
      </c>
      <c r="G110" s="44" t="s">
        <v>159</v>
      </c>
      <c r="H110" s="29">
        <v>1075.325</v>
      </c>
      <c r="I110" s="29">
        <v>1075.325</v>
      </c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48"/>
      <c r="U110" s="49"/>
      <c r="V110" s="58" t="e">
        <f t="shared" si="8"/>
        <v>#DIV/0!</v>
      </c>
    </row>
    <row r="111" spans="1:22" s="50" customFormat="1" ht="51" x14ac:dyDescent="0.2">
      <c r="A111" s="106"/>
      <c r="B111" s="106"/>
      <c r="C111" s="47" t="s">
        <v>84</v>
      </c>
      <c r="D111" s="44" t="s">
        <v>88</v>
      </c>
      <c r="E111" s="44" t="s">
        <v>203</v>
      </c>
      <c r="F111" s="44" t="s">
        <v>228</v>
      </c>
      <c r="G111" s="44" t="s">
        <v>159</v>
      </c>
      <c r="H111" s="29">
        <v>1583.885</v>
      </c>
      <c r="I111" s="29">
        <v>1583.885</v>
      </c>
      <c r="J111" s="29">
        <v>497.30700000000002</v>
      </c>
      <c r="K111" s="29">
        <v>497.30700000000002</v>
      </c>
      <c r="L111" s="29">
        <v>994.61599999999999</v>
      </c>
      <c r="M111" s="29">
        <v>994.61599999999999</v>
      </c>
      <c r="N111" s="29">
        <v>1491.923</v>
      </c>
      <c r="O111" s="29">
        <v>1326.154</v>
      </c>
      <c r="P111" s="29">
        <v>1989.232</v>
      </c>
      <c r="Q111" s="29">
        <v>1989.232</v>
      </c>
      <c r="R111" s="29"/>
      <c r="S111" s="29"/>
      <c r="T111" s="48" t="s">
        <v>255</v>
      </c>
      <c r="U111" s="49"/>
      <c r="V111" s="58">
        <f t="shared" si="8"/>
        <v>100</v>
      </c>
    </row>
    <row r="112" spans="1:22" s="50" customFormat="1" ht="51" hidden="1" x14ac:dyDescent="0.2">
      <c r="A112" s="106"/>
      <c r="B112" s="106"/>
      <c r="C112" s="47" t="s">
        <v>84</v>
      </c>
      <c r="D112" s="44" t="s">
        <v>88</v>
      </c>
      <c r="E112" s="44" t="s">
        <v>203</v>
      </c>
      <c r="F112" s="44" t="s">
        <v>221</v>
      </c>
      <c r="G112" s="44" t="s">
        <v>159</v>
      </c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48" t="s">
        <v>255</v>
      </c>
      <c r="U112" s="49"/>
      <c r="V112" s="58" t="e">
        <f t="shared" si="8"/>
        <v>#DIV/0!</v>
      </c>
    </row>
    <row r="113" spans="1:22" s="50" customFormat="1" ht="51" hidden="1" x14ac:dyDescent="0.2">
      <c r="A113" s="106"/>
      <c r="B113" s="106"/>
      <c r="C113" s="47" t="s">
        <v>84</v>
      </c>
      <c r="D113" s="44" t="s">
        <v>88</v>
      </c>
      <c r="E113" s="44" t="s">
        <v>127</v>
      </c>
      <c r="F113" s="44" t="s">
        <v>179</v>
      </c>
      <c r="G113" s="44" t="s">
        <v>159</v>
      </c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48" t="s">
        <v>255</v>
      </c>
      <c r="U113" s="49" t="e">
        <f t="shared" si="10"/>
        <v>#DIV/0!</v>
      </c>
      <c r="V113" s="58" t="e">
        <f t="shared" si="8"/>
        <v>#DIV/0!</v>
      </c>
    </row>
    <row r="114" spans="1:22" s="50" customFormat="1" ht="51" x14ac:dyDescent="0.2">
      <c r="A114" s="106"/>
      <c r="B114" s="106"/>
      <c r="C114" s="47" t="s">
        <v>84</v>
      </c>
      <c r="D114" s="44" t="s">
        <v>88</v>
      </c>
      <c r="E114" s="44" t="s">
        <v>203</v>
      </c>
      <c r="F114" s="44" t="s">
        <v>179</v>
      </c>
      <c r="G114" s="44" t="s">
        <v>159</v>
      </c>
      <c r="H114" s="29">
        <v>107.447</v>
      </c>
      <c r="I114" s="29">
        <v>107.447</v>
      </c>
      <c r="J114" s="29">
        <v>10</v>
      </c>
      <c r="K114" s="29">
        <v>10</v>
      </c>
      <c r="L114" s="29">
        <v>20.84</v>
      </c>
      <c r="M114" s="29">
        <v>20.84</v>
      </c>
      <c r="N114" s="29">
        <v>69.415000000000006</v>
      </c>
      <c r="O114" s="29">
        <v>69.415000000000006</v>
      </c>
      <c r="P114" s="29">
        <v>128.77199999999999</v>
      </c>
      <c r="Q114" s="29">
        <v>128.77199999999999</v>
      </c>
      <c r="R114" s="29"/>
      <c r="S114" s="29"/>
      <c r="T114" s="48" t="s">
        <v>255</v>
      </c>
      <c r="U114" s="49">
        <f t="shared" si="10"/>
        <v>0.16</v>
      </c>
      <c r="V114" s="58">
        <f t="shared" si="8"/>
        <v>100</v>
      </c>
    </row>
    <row r="115" spans="1:22" s="50" customFormat="1" ht="51" hidden="1" x14ac:dyDescent="0.2">
      <c r="A115" s="106"/>
      <c r="B115" s="106"/>
      <c r="C115" s="47" t="s">
        <v>84</v>
      </c>
      <c r="D115" s="44" t="s">
        <v>88</v>
      </c>
      <c r="E115" s="44" t="s">
        <v>171</v>
      </c>
      <c r="F115" s="44" t="s">
        <v>172</v>
      </c>
      <c r="G115" s="44" t="s">
        <v>160</v>
      </c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48"/>
      <c r="U115" s="49" t="e">
        <f t="shared" si="10"/>
        <v>#DIV/0!</v>
      </c>
      <c r="V115" s="58" t="e">
        <f t="shared" si="8"/>
        <v>#DIV/0!</v>
      </c>
    </row>
    <row r="116" spans="1:22" s="50" customFormat="1" ht="51" hidden="1" x14ac:dyDescent="0.2">
      <c r="A116" s="106"/>
      <c r="B116" s="106"/>
      <c r="C116" s="47" t="s">
        <v>84</v>
      </c>
      <c r="D116" s="44" t="s">
        <v>88</v>
      </c>
      <c r="E116" s="44" t="s">
        <v>127</v>
      </c>
      <c r="F116" s="44" t="s">
        <v>158</v>
      </c>
      <c r="G116" s="44" t="s">
        <v>159</v>
      </c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48"/>
      <c r="U116" s="49"/>
      <c r="V116" s="58" t="e">
        <f t="shared" si="8"/>
        <v>#DIV/0!</v>
      </c>
    </row>
    <row r="117" spans="1:22" s="50" customFormat="1" ht="51" hidden="1" x14ac:dyDescent="0.2">
      <c r="A117" s="106"/>
      <c r="B117" s="106"/>
      <c r="C117" s="47" t="s">
        <v>84</v>
      </c>
      <c r="D117" s="44" t="s">
        <v>88</v>
      </c>
      <c r="E117" s="44" t="s">
        <v>127</v>
      </c>
      <c r="F117" s="44" t="s">
        <v>189</v>
      </c>
      <c r="G117" s="44" t="s">
        <v>160</v>
      </c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48"/>
      <c r="U117" s="49"/>
      <c r="V117" s="58" t="e">
        <f t="shared" si="8"/>
        <v>#DIV/0!</v>
      </c>
    </row>
    <row r="118" spans="1:22" s="50" customFormat="1" ht="25.5" hidden="1" customHeight="1" x14ac:dyDescent="0.2">
      <c r="A118" s="106"/>
      <c r="B118" s="106"/>
      <c r="C118" s="47" t="s">
        <v>84</v>
      </c>
      <c r="D118" s="44" t="s">
        <v>88</v>
      </c>
      <c r="E118" s="44" t="s">
        <v>127</v>
      </c>
      <c r="F118" s="44" t="s">
        <v>157</v>
      </c>
      <c r="G118" s="44" t="s">
        <v>94</v>
      </c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48"/>
      <c r="U118" s="49"/>
      <c r="V118" s="58" t="e">
        <f t="shared" si="8"/>
        <v>#DIV/0!</v>
      </c>
    </row>
    <row r="119" spans="1:22" s="50" customFormat="1" ht="51" x14ac:dyDescent="0.2">
      <c r="A119" s="106"/>
      <c r="B119" s="106"/>
      <c r="C119" s="47" t="s">
        <v>84</v>
      </c>
      <c r="D119" s="44" t="s">
        <v>88</v>
      </c>
      <c r="E119" s="44" t="s">
        <v>203</v>
      </c>
      <c r="F119" s="44" t="s">
        <v>189</v>
      </c>
      <c r="G119" s="44" t="s">
        <v>160</v>
      </c>
      <c r="H119" s="29">
        <v>3.992</v>
      </c>
      <c r="I119" s="29">
        <v>3.9780000000000002</v>
      </c>
      <c r="J119" s="29">
        <v>1.014</v>
      </c>
      <c r="K119" s="29">
        <v>1.014</v>
      </c>
      <c r="L119" s="29">
        <v>2.0649999999999999</v>
      </c>
      <c r="M119" s="29">
        <v>2.0649999999999999</v>
      </c>
      <c r="N119" s="29">
        <v>3.4510000000000001</v>
      </c>
      <c r="O119" s="29">
        <v>3.4510000000000001</v>
      </c>
      <c r="P119" s="29">
        <v>4.4770000000000003</v>
      </c>
      <c r="Q119" s="29">
        <v>4.1440000000000001</v>
      </c>
      <c r="R119" s="29">
        <v>4.1580000000000004</v>
      </c>
      <c r="S119" s="29">
        <v>4.1580000000000004</v>
      </c>
      <c r="T119" s="48" t="s">
        <v>257</v>
      </c>
      <c r="U119" s="49"/>
      <c r="V119" s="58">
        <f t="shared" si="8"/>
        <v>92.56198347107437</v>
      </c>
    </row>
    <row r="120" spans="1:22" s="50" customFormat="1" ht="51" x14ac:dyDescent="0.2">
      <c r="A120" s="106"/>
      <c r="B120" s="106"/>
      <c r="C120" s="47" t="s">
        <v>84</v>
      </c>
      <c r="D120" s="44" t="s">
        <v>88</v>
      </c>
      <c r="E120" s="44" t="s">
        <v>203</v>
      </c>
      <c r="F120" s="44" t="s">
        <v>193</v>
      </c>
      <c r="G120" s="44" t="s">
        <v>160</v>
      </c>
      <c r="H120" s="29">
        <v>379.99</v>
      </c>
      <c r="I120" s="29">
        <v>379.91399999999999</v>
      </c>
      <c r="J120" s="29">
        <v>45</v>
      </c>
      <c r="K120" s="29">
        <v>45</v>
      </c>
      <c r="L120" s="29">
        <v>127.9</v>
      </c>
      <c r="M120" s="29">
        <v>127.9</v>
      </c>
      <c r="N120" s="29">
        <v>242.74299999999999</v>
      </c>
      <c r="O120" s="29">
        <v>242.74299999999999</v>
      </c>
      <c r="P120" s="29">
        <v>1054.3399999999999</v>
      </c>
      <c r="Q120" s="29">
        <v>1052.2429999999999</v>
      </c>
      <c r="R120" s="29"/>
      <c r="S120" s="29">
        <f>R120</f>
        <v>0</v>
      </c>
      <c r="T120" s="48" t="s">
        <v>255</v>
      </c>
      <c r="U120" s="49"/>
      <c r="V120" s="58">
        <f t="shared" si="8"/>
        <v>99.801107802037293</v>
      </c>
    </row>
    <row r="121" spans="1:22" s="50" customFormat="1" ht="51" x14ac:dyDescent="0.2">
      <c r="A121" s="106"/>
      <c r="B121" s="106"/>
      <c r="C121" s="47" t="s">
        <v>84</v>
      </c>
      <c r="D121" s="44" t="s">
        <v>88</v>
      </c>
      <c r="E121" s="44" t="s">
        <v>203</v>
      </c>
      <c r="F121" s="44" t="s">
        <v>226</v>
      </c>
      <c r="G121" s="44" t="s">
        <v>160</v>
      </c>
      <c r="H121" s="29">
        <v>29.326000000000001</v>
      </c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>
        <f>R121</f>
        <v>0</v>
      </c>
      <c r="T121" s="48"/>
      <c r="U121" s="49" t="e">
        <f>ROUND(M121/P121,2)</f>
        <v>#DIV/0!</v>
      </c>
      <c r="V121" s="58" t="e">
        <f t="shared" si="8"/>
        <v>#DIV/0!</v>
      </c>
    </row>
    <row r="122" spans="1:22" s="55" customFormat="1" ht="25.5" x14ac:dyDescent="0.2">
      <c r="A122" s="106"/>
      <c r="B122" s="106"/>
      <c r="C122" s="56" t="s">
        <v>138</v>
      </c>
      <c r="D122" s="57"/>
      <c r="E122" s="57"/>
      <c r="F122" s="57"/>
      <c r="G122" s="57"/>
      <c r="H122" s="28">
        <f t="shared" ref="H122:S122" si="11">SUM(H102:H121)</f>
        <v>41627.489999999991</v>
      </c>
      <c r="I122" s="28">
        <f t="shared" si="11"/>
        <v>41504.048999999999</v>
      </c>
      <c r="J122" s="28">
        <f t="shared" si="11"/>
        <v>10903.081</v>
      </c>
      <c r="K122" s="28">
        <f t="shared" si="11"/>
        <v>10903.081</v>
      </c>
      <c r="L122" s="28">
        <f t="shared" si="11"/>
        <v>23709.240000000005</v>
      </c>
      <c r="M122" s="28">
        <f t="shared" si="11"/>
        <v>23709.240000000005</v>
      </c>
      <c r="N122" s="28">
        <f t="shared" si="11"/>
        <v>31816.988000000001</v>
      </c>
      <c r="O122" s="28">
        <f t="shared" si="11"/>
        <v>31651.038</v>
      </c>
      <c r="P122" s="28">
        <f t="shared" si="11"/>
        <v>46662.642000000007</v>
      </c>
      <c r="Q122" s="28">
        <f t="shared" si="11"/>
        <v>46613.244000000006</v>
      </c>
      <c r="R122" s="28">
        <f t="shared" si="11"/>
        <v>37348.663</v>
      </c>
      <c r="S122" s="28">
        <f t="shared" si="11"/>
        <v>37348.663</v>
      </c>
      <c r="T122" s="48"/>
      <c r="V122" s="58">
        <f t="shared" si="8"/>
        <v>99.894138013016914</v>
      </c>
    </row>
    <row r="123" spans="1:22" s="55" customFormat="1" x14ac:dyDescent="0.2">
      <c r="A123" s="106"/>
      <c r="B123" s="106"/>
      <c r="C123" s="108" t="s">
        <v>139</v>
      </c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10"/>
      <c r="V123" s="58" t="e">
        <f t="shared" si="8"/>
        <v>#DIV/0!</v>
      </c>
    </row>
    <row r="124" spans="1:22" s="50" customFormat="1" ht="51" x14ac:dyDescent="0.2">
      <c r="A124" s="106"/>
      <c r="B124" s="106"/>
      <c r="C124" s="47" t="s">
        <v>84</v>
      </c>
      <c r="D124" s="44" t="s">
        <v>88</v>
      </c>
      <c r="E124" s="44" t="s">
        <v>92</v>
      </c>
      <c r="F124" s="44" t="s">
        <v>187</v>
      </c>
      <c r="G124" s="44" t="s">
        <v>160</v>
      </c>
      <c r="H124" s="29">
        <v>600</v>
      </c>
      <c r="I124" s="29">
        <v>600</v>
      </c>
      <c r="J124" s="29">
        <v>45.55</v>
      </c>
      <c r="K124" s="29">
        <v>45.55</v>
      </c>
      <c r="L124" s="29">
        <v>308.05</v>
      </c>
      <c r="M124" s="29">
        <v>308.05</v>
      </c>
      <c r="N124" s="29">
        <v>459.05</v>
      </c>
      <c r="O124" s="29">
        <v>459.05</v>
      </c>
      <c r="P124" s="29">
        <v>600</v>
      </c>
      <c r="Q124" s="29">
        <v>600</v>
      </c>
      <c r="R124" s="29">
        <v>600</v>
      </c>
      <c r="S124" s="29">
        <v>600</v>
      </c>
      <c r="T124" s="48" t="s">
        <v>255</v>
      </c>
      <c r="V124" s="58">
        <f t="shared" si="8"/>
        <v>100</v>
      </c>
    </row>
    <row r="125" spans="1:22" s="50" customFormat="1" ht="51" x14ac:dyDescent="0.2">
      <c r="A125" s="106"/>
      <c r="B125" s="106"/>
      <c r="C125" s="47" t="s">
        <v>84</v>
      </c>
      <c r="D125" s="44" t="s">
        <v>88</v>
      </c>
      <c r="E125" s="44" t="s">
        <v>92</v>
      </c>
      <c r="F125" s="44" t="s">
        <v>187</v>
      </c>
      <c r="G125" s="44" t="s">
        <v>162</v>
      </c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>
        <f>R125</f>
        <v>0</v>
      </c>
      <c r="T125" s="48"/>
      <c r="V125" s="58" t="e">
        <f t="shared" si="8"/>
        <v>#DIV/0!</v>
      </c>
    </row>
    <row r="126" spans="1:22" s="55" customFormat="1" ht="25.5" x14ac:dyDescent="0.2">
      <c r="A126" s="106"/>
      <c r="B126" s="106"/>
      <c r="C126" s="56" t="s">
        <v>140</v>
      </c>
      <c r="D126" s="57"/>
      <c r="E126" s="57"/>
      <c r="F126" s="57"/>
      <c r="G126" s="57"/>
      <c r="H126" s="28">
        <f>H124+H125</f>
        <v>600</v>
      </c>
      <c r="I126" s="28">
        <f>I124+I125</f>
        <v>600</v>
      </c>
      <c r="J126" s="28">
        <f>J124+J125</f>
        <v>45.55</v>
      </c>
      <c r="K126" s="28">
        <f>K124+K125</f>
        <v>45.55</v>
      </c>
      <c r="L126" s="28">
        <f t="shared" ref="L126:Q126" si="12">L124+L125</f>
        <v>308.05</v>
      </c>
      <c r="M126" s="28">
        <f t="shared" si="12"/>
        <v>308.05</v>
      </c>
      <c r="N126" s="28">
        <f t="shared" si="12"/>
        <v>459.05</v>
      </c>
      <c r="O126" s="28">
        <f t="shared" si="12"/>
        <v>459.05</v>
      </c>
      <c r="P126" s="28">
        <f>P124+P125</f>
        <v>600</v>
      </c>
      <c r="Q126" s="28">
        <f t="shared" si="12"/>
        <v>600</v>
      </c>
      <c r="R126" s="28">
        <f>R124+R125</f>
        <v>600</v>
      </c>
      <c r="S126" s="28">
        <f>S124+S125</f>
        <v>600</v>
      </c>
      <c r="T126" s="48"/>
      <c r="V126" s="58">
        <f t="shared" si="8"/>
        <v>100</v>
      </c>
    </row>
    <row r="127" spans="1:22" s="55" customFormat="1" x14ac:dyDescent="0.2">
      <c r="A127" s="106"/>
      <c r="B127" s="106"/>
      <c r="C127" s="108" t="s">
        <v>141</v>
      </c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10"/>
      <c r="V127" s="58" t="e">
        <f t="shared" si="8"/>
        <v>#DIV/0!</v>
      </c>
    </row>
    <row r="128" spans="1:22" s="50" customFormat="1" ht="25.5" hidden="1" customHeight="1" x14ac:dyDescent="0.2">
      <c r="A128" s="106"/>
      <c r="B128" s="106"/>
      <c r="C128" s="47" t="s">
        <v>84</v>
      </c>
      <c r="D128" s="44" t="s">
        <v>88</v>
      </c>
      <c r="E128" s="44" t="s">
        <v>129</v>
      </c>
      <c r="F128" s="44" t="s">
        <v>130</v>
      </c>
      <c r="G128" s="44" t="s">
        <v>160</v>
      </c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48"/>
      <c r="V128" s="58" t="e">
        <f t="shared" si="8"/>
        <v>#DIV/0!</v>
      </c>
    </row>
    <row r="129" spans="1:22" s="50" customFormat="1" ht="25.5" hidden="1" customHeight="1" x14ac:dyDescent="0.2">
      <c r="A129" s="106"/>
      <c r="B129" s="106"/>
      <c r="C129" s="47" t="s">
        <v>84</v>
      </c>
      <c r="D129" s="44" t="s">
        <v>88</v>
      </c>
      <c r="E129" s="44" t="s">
        <v>129</v>
      </c>
      <c r="F129" s="44" t="s">
        <v>130</v>
      </c>
      <c r="G129" s="44" t="s">
        <v>162</v>
      </c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48"/>
      <c r="V129" s="58" t="e">
        <f t="shared" si="8"/>
        <v>#DIV/0!</v>
      </c>
    </row>
    <row r="130" spans="1:22" s="50" customFormat="1" ht="25.5" hidden="1" customHeight="1" x14ac:dyDescent="0.2">
      <c r="A130" s="106"/>
      <c r="B130" s="106"/>
      <c r="C130" s="47" t="s">
        <v>84</v>
      </c>
      <c r="D130" s="44" t="s">
        <v>88</v>
      </c>
      <c r="E130" s="44" t="s">
        <v>129</v>
      </c>
      <c r="F130" s="44" t="s">
        <v>131</v>
      </c>
      <c r="G130" s="44" t="s">
        <v>160</v>
      </c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48"/>
      <c r="V130" s="58" t="e">
        <f t="shared" si="8"/>
        <v>#DIV/0!</v>
      </c>
    </row>
    <row r="131" spans="1:22" s="50" customFormat="1" ht="25.5" hidden="1" customHeight="1" x14ac:dyDescent="0.2">
      <c r="A131" s="106"/>
      <c r="B131" s="106"/>
      <c r="C131" s="47" t="s">
        <v>84</v>
      </c>
      <c r="D131" s="44" t="s">
        <v>88</v>
      </c>
      <c r="E131" s="44" t="s">
        <v>129</v>
      </c>
      <c r="F131" s="44" t="s">
        <v>131</v>
      </c>
      <c r="G131" s="44" t="s">
        <v>162</v>
      </c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48"/>
      <c r="V131" s="58" t="e">
        <f t="shared" si="8"/>
        <v>#DIV/0!</v>
      </c>
    </row>
    <row r="132" spans="1:22" s="50" customFormat="1" ht="25.5" hidden="1" customHeight="1" x14ac:dyDescent="0.2">
      <c r="A132" s="106"/>
      <c r="B132" s="106"/>
      <c r="C132" s="47" t="s">
        <v>84</v>
      </c>
      <c r="D132" s="44" t="s">
        <v>88</v>
      </c>
      <c r="E132" s="44" t="s">
        <v>129</v>
      </c>
      <c r="F132" s="44" t="s">
        <v>132</v>
      </c>
      <c r="G132" s="44" t="s">
        <v>159</v>
      </c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48"/>
      <c r="V132" s="58" t="e">
        <f t="shared" si="8"/>
        <v>#DIV/0!</v>
      </c>
    </row>
    <row r="133" spans="1:22" s="50" customFormat="1" ht="25.5" hidden="1" customHeight="1" x14ac:dyDescent="0.2">
      <c r="A133" s="106"/>
      <c r="B133" s="106"/>
      <c r="C133" s="47" t="s">
        <v>84</v>
      </c>
      <c r="D133" s="44" t="s">
        <v>88</v>
      </c>
      <c r="E133" s="44" t="s">
        <v>129</v>
      </c>
      <c r="F133" s="44" t="s">
        <v>132</v>
      </c>
      <c r="G133" s="44" t="s">
        <v>160</v>
      </c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48"/>
      <c r="V133" s="58" t="e">
        <f t="shared" si="8"/>
        <v>#DIV/0!</v>
      </c>
    </row>
    <row r="134" spans="1:22" s="50" customFormat="1" ht="25.5" hidden="1" customHeight="1" x14ac:dyDescent="0.2">
      <c r="A134" s="106"/>
      <c r="B134" s="106"/>
      <c r="C134" s="47" t="s">
        <v>84</v>
      </c>
      <c r="D134" s="44" t="s">
        <v>88</v>
      </c>
      <c r="E134" s="44" t="s">
        <v>129</v>
      </c>
      <c r="F134" s="44" t="s">
        <v>133</v>
      </c>
      <c r="G134" s="44" t="s">
        <v>159</v>
      </c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48"/>
      <c r="V134" s="58" t="e">
        <f t="shared" si="8"/>
        <v>#DIV/0!</v>
      </c>
    </row>
    <row r="135" spans="1:22" s="50" customFormat="1" ht="51" x14ac:dyDescent="0.2">
      <c r="A135" s="106"/>
      <c r="B135" s="106"/>
      <c r="C135" s="47" t="s">
        <v>84</v>
      </c>
      <c r="D135" s="44" t="s">
        <v>88</v>
      </c>
      <c r="E135" s="44" t="s">
        <v>129</v>
      </c>
      <c r="F135" s="44" t="s">
        <v>188</v>
      </c>
      <c r="G135" s="44" t="s">
        <v>160</v>
      </c>
      <c r="H135" s="29">
        <v>490</v>
      </c>
      <c r="I135" s="29">
        <v>490</v>
      </c>
      <c r="J135" s="29"/>
      <c r="K135" s="29">
        <v>0</v>
      </c>
      <c r="L135" s="29">
        <v>490</v>
      </c>
      <c r="M135" s="29">
        <v>490</v>
      </c>
      <c r="N135" s="29">
        <v>490</v>
      </c>
      <c r="O135" s="29">
        <v>490</v>
      </c>
      <c r="P135" s="29">
        <v>490</v>
      </c>
      <c r="Q135" s="29">
        <v>490</v>
      </c>
      <c r="R135" s="29">
        <v>490</v>
      </c>
      <c r="S135" s="29">
        <v>490</v>
      </c>
      <c r="T135" s="48" t="s">
        <v>255</v>
      </c>
      <c r="V135" s="58">
        <f t="shared" si="8"/>
        <v>100</v>
      </c>
    </row>
    <row r="136" spans="1:22" s="50" customFormat="1" ht="27.75" customHeight="1" x14ac:dyDescent="0.2">
      <c r="A136" s="106"/>
      <c r="B136" s="106"/>
      <c r="C136" s="47" t="s">
        <v>84</v>
      </c>
      <c r="D136" s="44" t="s">
        <v>88</v>
      </c>
      <c r="E136" s="44" t="s">
        <v>129</v>
      </c>
      <c r="F136" s="44" t="s">
        <v>229</v>
      </c>
      <c r="G136" s="44" t="s">
        <v>160</v>
      </c>
      <c r="H136" s="29">
        <v>333.2</v>
      </c>
      <c r="I136" s="29">
        <f>329.803-0.001</f>
        <v>329.80200000000002</v>
      </c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48"/>
      <c r="U136" s="49"/>
      <c r="V136" s="58" t="e">
        <f t="shared" si="8"/>
        <v>#DIV/0!</v>
      </c>
    </row>
    <row r="137" spans="1:22" s="50" customFormat="1" ht="62.25" customHeight="1" x14ac:dyDescent="0.2">
      <c r="A137" s="106"/>
      <c r="B137" s="106"/>
      <c r="C137" s="47" t="s">
        <v>84</v>
      </c>
      <c r="D137" s="44" t="s">
        <v>88</v>
      </c>
      <c r="E137" s="44" t="s">
        <v>129</v>
      </c>
      <c r="F137" s="44" t="s">
        <v>230</v>
      </c>
      <c r="G137" s="44" t="s">
        <v>160</v>
      </c>
      <c r="H137" s="29">
        <v>0.33400000000000002</v>
      </c>
      <c r="I137" s="29">
        <v>0.33400000000000002</v>
      </c>
      <c r="J137" s="29"/>
      <c r="K137" s="29">
        <v>0</v>
      </c>
      <c r="L137" s="29">
        <v>21.367999999999999</v>
      </c>
      <c r="M137" s="29">
        <v>21.367999999999999</v>
      </c>
      <c r="N137" s="29">
        <v>367.86799999999999</v>
      </c>
      <c r="O137" s="29">
        <v>261.79500000000002</v>
      </c>
      <c r="P137" s="29">
        <v>367.86799999999999</v>
      </c>
      <c r="Q137" s="29">
        <v>261.79500000000002</v>
      </c>
      <c r="R137" s="29">
        <f>367.5+0.368</f>
        <v>367.86799999999999</v>
      </c>
      <c r="S137" s="29">
        <f>367.5+0.368</f>
        <v>367.86799999999999</v>
      </c>
      <c r="T137" s="48" t="s">
        <v>258</v>
      </c>
      <c r="U137" s="49"/>
      <c r="V137" s="58">
        <f t="shared" si="8"/>
        <v>71.165472397707873</v>
      </c>
    </row>
    <row r="138" spans="1:22" s="50" customFormat="1" ht="32.25" hidden="1" customHeight="1" x14ac:dyDescent="0.2">
      <c r="A138" s="106"/>
      <c r="B138" s="106"/>
      <c r="C138" s="47" t="s">
        <v>84</v>
      </c>
      <c r="D138" s="44" t="s">
        <v>88</v>
      </c>
      <c r="E138" s="44" t="s">
        <v>129</v>
      </c>
      <c r="F138" s="44" t="s">
        <v>214</v>
      </c>
      <c r="G138" s="44" t="s">
        <v>159</v>
      </c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>
        <f t="shared" ref="S138:S149" si="13">R138</f>
        <v>0</v>
      </c>
      <c r="T138" s="48"/>
      <c r="U138" s="49"/>
      <c r="V138" s="58" t="e">
        <f t="shared" si="8"/>
        <v>#DIV/0!</v>
      </c>
    </row>
    <row r="139" spans="1:22" s="50" customFormat="1" ht="32.25" hidden="1" customHeight="1" x14ac:dyDescent="0.2">
      <c r="A139" s="106"/>
      <c r="B139" s="106"/>
      <c r="C139" s="47" t="s">
        <v>84</v>
      </c>
      <c r="D139" s="44" t="s">
        <v>88</v>
      </c>
      <c r="E139" s="44" t="s">
        <v>129</v>
      </c>
      <c r="F139" s="44" t="s">
        <v>215</v>
      </c>
      <c r="G139" s="44" t="s">
        <v>159</v>
      </c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>
        <f t="shared" si="13"/>
        <v>0</v>
      </c>
      <c r="T139" s="48"/>
      <c r="U139" s="49"/>
      <c r="V139" s="58" t="e">
        <f t="shared" ref="V139:V202" si="14">Q139/P139*100</f>
        <v>#DIV/0!</v>
      </c>
    </row>
    <row r="140" spans="1:22" s="50" customFormat="1" ht="28.5" hidden="1" customHeight="1" x14ac:dyDescent="0.2">
      <c r="A140" s="106"/>
      <c r="B140" s="106"/>
      <c r="C140" s="47" t="s">
        <v>84</v>
      </c>
      <c r="D140" s="44" t="s">
        <v>88</v>
      </c>
      <c r="E140" s="44" t="s">
        <v>129</v>
      </c>
      <c r="F140" s="44" t="s">
        <v>198</v>
      </c>
      <c r="G140" s="44" t="s">
        <v>160</v>
      </c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>
        <f t="shared" si="13"/>
        <v>0</v>
      </c>
      <c r="T140" s="48"/>
      <c r="U140" s="49"/>
      <c r="V140" s="58" t="e">
        <f t="shared" si="14"/>
        <v>#DIV/0!</v>
      </c>
    </row>
    <row r="141" spans="1:22" s="50" customFormat="1" ht="51" hidden="1" x14ac:dyDescent="0.2">
      <c r="A141" s="106"/>
      <c r="B141" s="106"/>
      <c r="C141" s="47" t="s">
        <v>84</v>
      </c>
      <c r="D141" s="44" t="s">
        <v>88</v>
      </c>
      <c r="E141" s="44" t="s">
        <v>129</v>
      </c>
      <c r="F141" s="44" t="s">
        <v>200</v>
      </c>
      <c r="G141" s="44" t="s">
        <v>160</v>
      </c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>
        <f t="shared" si="13"/>
        <v>0</v>
      </c>
      <c r="T141" s="48"/>
      <c r="V141" s="58" t="e">
        <f t="shared" si="14"/>
        <v>#DIV/0!</v>
      </c>
    </row>
    <row r="142" spans="1:22" s="50" customFormat="1" ht="51" hidden="1" x14ac:dyDescent="0.2">
      <c r="A142" s="106"/>
      <c r="B142" s="106"/>
      <c r="C142" s="47" t="s">
        <v>84</v>
      </c>
      <c r="D142" s="44" t="s">
        <v>88</v>
      </c>
      <c r="E142" s="44" t="s">
        <v>129</v>
      </c>
      <c r="F142" s="44" t="s">
        <v>197</v>
      </c>
      <c r="G142" s="44" t="s">
        <v>160</v>
      </c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>
        <f t="shared" si="13"/>
        <v>0</v>
      </c>
      <c r="T142" s="48"/>
      <c r="V142" s="58" t="e">
        <f t="shared" si="14"/>
        <v>#DIV/0!</v>
      </c>
    </row>
    <row r="143" spans="1:22" s="50" customFormat="1" ht="51" hidden="1" x14ac:dyDescent="0.2">
      <c r="A143" s="106"/>
      <c r="B143" s="106"/>
      <c r="C143" s="47" t="s">
        <v>84</v>
      </c>
      <c r="D143" s="44" t="s">
        <v>88</v>
      </c>
      <c r="E143" s="44" t="s">
        <v>129</v>
      </c>
      <c r="F143" s="44" t="s">
        <v>199</v>
      </c>
      <c r="G143" s="44" t="s">
        <v>160</v>
      </c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>
        <f t="shared" si="13"/>
        <v>0</v>
      </c>
      <c r="T143" s="48"/>
      <c r="V143" s="58" t="e">
        <f t="shared" si="14"/>
        <v>#DIV/0!</v>
      </c>
    </row>
    <row r="144" spans="1:22" s="50" customFormat="1" ht="51" hidden="1" x14ac:dyDescent="0.2">
      <c r="A144" s="106"/>
      <c r="B144" s="106"/>
      <c r="C144" s="47" t="s">
        <v>84</v>
      </c>
      <c r="D144" s="44" t="s">
        <v>88</v>
      </c>
      <c r="E144" s="44" t="s">
        <v>129</v>
      </c>
      <c r="F144" s="44" t="s">
        <v>208</v>
      </c>
      <c r="G144" s="44" t="s">
        <v>160</v>
      </c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>
        <f t="shared" si="13"/>
        <v>0</v>
      </c>
      <c r="T144" s="48"/>
      <c r="V144" s="58" t="e">
        <f t="shared" si="14"/>
        <v>#DIV/0!</v>
      </c>
    </row>
    <row r="145" spans="1:22" s="50" customFormat="1" ht="51" hidden="1" x14ac:dyDescent="0.2">
      <c r="A145" s="106"/>
      <c r="B145" s="106"/>
      <c r="C145" s="47" t="s">
        <v>84</v>
      </c>
      <c r="D145" s="44" t="s">
        <v>88</v>
      </c>
      <c r="E145" s="44" t="s">
        <v>129</v>
      </c>
      <c r="F145" s="44" t="s">
        <v>209</v>
      </c>
      <c r="G145" s="44" t="s">
        <v>160</v>
      </c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>
        <f t="shared" si="13"/>
        <v>0</v>
      </c>
      <c r="T145" s="48"/>
      <c r="V145" s="58" t="e">
        <f t="shared" si="14"/>
        <v>#DIV/0!</v>
      </c>
    </row>
    <row r="146" spans="1:22" s="50" customFormat="1" ht="27" customHeight="1" x14ac:dyDescent="0.2">
      <c r="A146" s="106"/>
      <c r="B146" s="106"/>
      <c r="C146" s="47" t="s">
        <v>84</v>
      </c>
      <c r="D146" s="44" t="s">
        <v>88</v>
      </c>
      <c r="E146" s="44" t="s">
        <v>129</v>
      </c>
      <c r="F146" s="44" t="s">
        <v>235</v>
      </c>
      <c r="G146" s="44" t="s">
        <v>160</v>
      </c>
      <c r="H146" s="29">
        <v>16363.68</v>
      </c>
      <c r="I146" s="29">
        <v>16281.861999999999</v>
      </c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48"/>
      <c r="V146" s="58" t="e">
        <f t="shared" si="14"/>
        <v>#DIV/0!</v>
      </c>
    </row>
    <row r="147" spans="1:22" s="50" customFormat="1" ht="27" customHeight="1" x14ac:dyDescent="0.2">
      <c r="A147" s="106"/>
      <c r="B147" s="106"/>
      <c r="C147" s="47" t="s">
        <v>84</v>
      </c>
      <c r="D147" s="44" t="s">
        <v>88</v>
      </c>
      <c r="E147" s="44" t="s">
        <v>129</v>
      </c>
      <c r="F147" s="44" t="s">
        <v>236</v>
      </c>
      <c r="G147" s="44" t="s">
        <v>160</v>
      </c>
      <c r="H147" s="29">
        <v>1636.3679999999999</v>
      </c>
      <c r="I147" s="29">
        <v>1628.1859999999999</v>
      </c>
      <c r="J147" s="29"/>
      <c r="K147" s="29"/>
      <c r="L147" s="29">
        <v>28.65</v>
      </c>
      <c r="M147" s="29">
        <v>28.65</v>
      </c>
      <c r="N147" s="29">
        <v>315.14999999999998</v>
      </c>
      <c r="O147" s="29">
        <v>315.14999999999998</v>
      </c>
      <c r="P147" s="29">
        <v>315.14999999999998</v>
      </c>
      <c r="Q147" s="29">
        <v>315.14999999999998</v>
      </c>
      <c r="R147" s="29"/>
      <c r="S147" s="29"/>
      <c r="T147" s="48" t="s">
        <v>255</v>
      </c>
      <c r="V147" s="58">
        <f t="shared" si="14"/>
        <v>100</v>
      </c>
    </row>
    <row r="148" spans="1:22" s="50" customFormat="1" ht="51" hidden="1" x14ac:dyDescent="0.2">
      <c r="A148" s="106"/>
      <c r="B148" s="106"/>
      <c r="C148" s="47" t="s">
        <v>84</v>
      </c>
      <c r="D148" s="44" t="s">
        <v>88</v>
      </c>
      <c r="E148" s="44" t="s">
        <v>129</v>
      </c>
      <c r="F148" s="44" t="s">
        <v>217</v>
      </c>
      <c r="G148" s="44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>
        <f t="shared" si="13"/>
        <v>0</v>
      </c>
      <c r="T148" s="48" t="s">
        <v>241</v>
      </c>
      <c r="V148" s="58" t="e">
        <f t="shared" si="14"/>
        <v>#DIV/0!</v>
      </c>
    </row>
    <row r="149" spans="1:22" s="50" customFormat="1" ht="51" hidden="1" x14ac:dyDescent="0.2">
      <c r="A149" s="106"/>
      <c r="B149" s="106"/>
      <c r="C149" s="47" t="s">
        <v>84</v>
      </c>
      <c r="D149" s="44" t="s">
        <v>88</v>
      </c>
      <c r="E149" s="44" t="s">
        <v>129</v>
      </c>
      <c r="F149" s="44" t="s">
        <v>218</v>
      </c>
      <c r="G149" s="44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>
        <f t="shared" si="13"/>
        <v>0</v>
      </c>
      <c r="T149" s="48" t="s">
        <v>241</v>
      </c>
      <c r="V149" s="58" t="e">
        <f t="shared" si="14"/>
        <v>#DIV/0!</v>
      </c>
    </row>
    <row r="150" spans="1:22" s="55" customFormat="1" ht="21.75" customHeight="1" x14ac:dyDescent="0.2">
      <c r="A150" s="106"/>
      <c r="B150" s="106"/>
      <c r="C150" s="56" t="s">
        <v>142</v>
      </c>
      <c r="D150" s="57"/>
      <c r="E150" s="59"/>
      <c r="F150" s="59"/>
      <c r="G150" s="59"/>
      <c r="H150" s="28">
        <f>SUM(H128:H149,0)</f>
        <v>18823.581999999999</v>
      </c>
      <c r="I150" s="28">
        <f t="shared" ref="I150:S150" si="15">SUM(I128:I149,0)</f>
        <v>18730.184000000001</v>
      </c>
      <c r="J150" s="28">
        <f t="shared" si="15"/>
        <v>0</v>
      </c>
      <c r="K150" s="28">
        <f t="shared" si="15"/>
        <v>0</v>
      </c>
      <c r="L150" s="28">
        <f t="shared" si="15"/>
        <v>540.01800000000003</v>
      </c>
      <c r="M150" s="28">
        <f t="shared" si="15"/>
        <v>540.01800000000003</v>
      </c>
      <c r="N150" s="28">
        <f t="shared" si="15"/>
        <v>1173.018</v>
      </c>
      <c r="O150" s="28">
        <f t="shared" si="15"/>
        <v>1066.9450000000002</v>
      </c>
      <c r="P150" s="28">
        <f t="shared" si="15"/>
        <v>1173.018</v>
      </c>
      <c r="Q150" s="28">
        <f t="shared" si="15"/>
        <v>1066.9450000000002</v>
      </c>
      <c r="R150" s="28">
        <f t="shared" si="15"/>
        <v>857.86799999999994</v>
      </c>
      <c r="S150" s="28">
        <f t="shared" si="15"/>
        <v>857.86799999999994</v>
      </c>
      <c r="T150" s="48"/>
      <c r="V150" s="58">
        <f t="shared" si="14"/>
        <v>90.957257262889414</v>
      </c>
    </row>
    <row r="151" spans="1:22" s="50" customFormat="1" x14ac:dyDescent="0.2">
      <c r="A151" s="47" t="s">
        <v>11</v>
      </c>
      <c r="B151" s="47"/>
      <c r="C151" s="47"/>
      <c r="D151" s="44"/>
      <c r="E151" s="44"/>
      <c r="F151" s="44"/>
      <c r="G151" s="44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49"/>
      <c r="V151" s="58" t="e">
        <f t="shared" si="14"/>
        <v>#DIV/0!</v>
      </c>
    </row>
    <row r="152" spans="1:22" s="50" customFormat="1" ht="38.25" hidden="1" x14ac:dyDescent="0.2">
      <c r="A152" s="106" t="s">
        <v>42</v>
      </c>
      <c r="B152" s="106"/>
      <c r="C152" s="47" t="s">
        <v>34</v>
      </c>
      <c r="D152" s="44"/>
      <c r="E152" s="53"/>
      <c r="F152" s="53"/>
      <c r="G152" s="5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49"/>
      <c r="V152" s="58" t="e">
        <f t="shared" si="14"/>
        <v>#DIV/0!</v>
      </c>
    </row>
    <row r="153" spans="1:22" s="50" customFormat="1" ht="25.5" hidden="1" x14ac:dyDescent="0.2">
      <c r="A153" s="106"/>
      <c r="B153" s="106"/>
      <c r="C153" s="47" t="s">
        <v>71</v>
      </c>
      <c r="D153" s="44"/>
      <c r="E153" s="53"/>
      <c r="F153" s="53"/>
      <c r="G153" s="5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49"/>
      <c r="V153" s="58" t="e">
        <f t="shared" si="14"/>
        <v>#DIV/0!</v>
      </c>
    </row>
    <row r="154" spans="1:22" s="50" customFormat="1" ht="12.75" hidden="1" customHeight="1" x14ac:dyDescent="0.2">
      <c r="A154" s="106"/>
      <c r="B154" s="106"/>
      <c r="C154" s="47"/>
      <c r="D154" s="44"/>
      <c r="E154" s="53"/>
      <c r="F154" s="53"/>
      <c r="G154" s="5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49"/>
      <c r="V154" s="58" t="e">
        <f t="shared" si="14"/>
        <v>#DIV/0!</v>
      </c>
    </row>
    <row r="155" spans="1:22" s="50" customFormat="1" ht="12.75" hidden="1" customHeight="1" x14ac:dyDescent="0.2">
      <c r="A155" s="106"/>
      <c r="B155" s="106"/>
      <c r="C155" s="47"/>
      <c r="D155" s="44"/>
      <c r="E155" s="53"/>
      <c r="F155" s="53"/>
      <c r="G155" s="5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49"/>
      <c r="V155" s="58" t="e">
        <f t="shared" si="14"/>
        <v>#DIV/0!</v>
      </c>
    </row>
    <row r="156" spans="1:22" s="50" customFormat="1" ht="15" hidden="1" customHeight="1" x14ac:dyDescent="0.2">
      <c r="A156" s="116" t="s">
        <v>52</v>
      </c>
      <c r="B156" s="116" t="s">
        <v>86</v>
      </c>
      <c r="C156" s="47" t="s">
        <v>34</v>
      </c>
      <c r="D156" s="44" t="s">
        <v>95</v>
      </c>
      <c r="E156" s="44" t="s">
        <v>95</v>
      </c>
      <c r="F156" s="44" t="s">
        <v>95</v>
      </c>
      <c r="G156" s="44" t="s">
        <v>95</v>
      </c>
      <c r="H156" s="28">
        <f>SUM(P159:P162)</f>
        <v>0</v>
      </c>
      <c r="I156" s="28">
        <f>SUM(I158:I162)</f>
        <v>0</v>
      </c>
      <c r="J156" s="28">
        <f>SUM(J158:J162)</f>
        <v>0</v>
      </c>
      <c r="K156" s="28">
        <f t="shared" ref="K156:Q156" si="16">SUM(K158:K162)</f>
        <v>0</v>
      </c>
      <c r="L156" s="28">
        <f>SUM(L158:L162)</f>
        <v>0</v>
      </c>
      <c r="M156" s="28">
        <f>SUM(M158:M162)</f>
        <v>0</v>
      </c>
      <c r="N156" s="28">
        <f t="shared" si="16"/>
        <v>0</v>
      </c>
      <c r="O156" s="28">
        <f t="shared" si="16"/>
        <v>0</v>
      </c>
      <c r="P156" s="28">
        <f>SUM(P159:P162)</f>
        <v>0</v>
      </c>
      <c r="Q156" s="28">
        <f t="shared" si="16"/>
        <v>0</v>
      </c>
      <c r="R156" s="28">
        <f>SUM(R159:R162)</f>
        <v>0</v>
      </c>
      <c r="S156" s="28">
        <f>SUM(S159:S162)</f>
        <v>0</v>
      </c>
      <c r="T156" s="49"/>
      <c r="V156" s="58" t="e">
        <f t="shared" si="14"/>
        <v>#DIV/0!</v>
      </c>
    </row>
    <row r="157" spans="1:22" s="50" customFormat="1" ht="15" hidden="1" customHeight="1" x14ac:dyDescent="0.2">
      <c r="A157" s="117"/>
      <c r="B157" s="117"/>
      <c r="C157" s="47" t="s">
        <v>71</v>
      </c>
      <c r="D157" s="44"/>
      <c r="E157" s="44"/>
      <c r="F157" s="44"/>
      <c r="G157" s="44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49"/>
      <c r="V157" s="58" t="e">
        <f t="shared" si="14"/>
        <v>#DIV/0!</v>
      </c>
    </row>
    <row r="158" spans="1:22" s="50" customFormat="1" ht="25.5" hidden="1" customHeight="1" x14ac:dyDescent="0.2">
      <c r="A158" s="117"/>
      <c r="B158" s="117"/>
      <c r="C158" s="47" t="s">
        <v>84</v>
      </c>
      <c r="D158" s="44" t="s">
        <v>88</v>
      </c>
      <c r="E158" s="44" t="s">
        <v>89</v>
      </c>
      <c r="F158" s="44" t="s">
        <v>90</v>
      </c>
      <c r="G158" s="44" t="s">
        <v>163</v>
      </c>
      <c r="I158" s="29"/>
      <c r="J158" s="29"/>
      <c r="K158" s="29"/>
      <c r="L158" s="29"/>
      <c r="M158" s="29"/>
      <c r="N158" s="29"/>
      <c r="O158" s="29"/>
      <c r="Q158" s="29"/>
      <c r="T158" s="48"/>
      <c r="U158" s="49" t="e">
        <f>ROUND(M158/P159,2)</f>
        <v>#DIV/0!</v>
      </c>
      <c r="V158" s="58" t="e">
        <f t="shared" si="14"/>
        <v>#DIV/0!</v>
      </c>
    </row>
    <row r="159" spans="1:22" s="50" customFormat="1" ht="25.5" hidden="1" customHeight="1" x14ac:dyDescent="0.2">
      <c r="A159" s="117"/>
      <c r="B159" s="117"/>
      <c r="C159" s="47" t="s">
        <v>84</v>
      </c>
      <c r="D159" s="44" t="s">
        <v>88</v>
      </c>
      <c r="E159" s="44" t="s">
        <v>89</v>
      </c>
      <c r="F159" s="44" t="s">
        <v>91</v>
      </c>
      <c r="G159" s="44" t="s">
        <v>163</v>
      </c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48"/>
      <c r="U159" s="49" t="e">
        <f>ROUND(M159/#REF!,2)</f>
        <v>#REF!</v>
      </c>
      <c r="V159" s="58" t="e">
        <f t="shared" si="14"/>
        <v>#DIV/0!</v>
      </c>
    </row>
    <row r="160" spans="1:22" s="50" customFormat="1" ht="25.5" hidden="1" customHeight="1" x14ac:dyDescent="0.2">
      <c r="A160" s="117"/>
      <c r="B160" s="117"/>
      <c r="C160" s="47" t="s">
        <v>84</v>
      </c>
      <c r="D160" s="44" t="s">
        <v>88</v>
      </c>
      <c r="E160" s="44" t="s">
        <v>92</v>
      </c>
      <c r="F160" s="44" t="s">
        <v>93</v>
      </c>
      <c r="G160" s="44" t="s">
        <v>164</v>
      </c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48"/>
      <c r="U160" s="49" t="e">
        <f>ROUND(M160/P160,2)</f>
        <v>#DIV/0!</v>
      </c>
      <c r="V160" s="58" t="e">
        <f t="shared" si="14"/>
        <v>#DIV/0!</v>
      </c>
    </row>
    <row r="161" spans="1:22" s="50" customFormat="1" ht="25.5" hidden="1" customHeight="1" x14ac:dyDescent="0.2">
      <c r="A161" s="117"/>
      <c r="B161" s="117"/>
      <c r="C161" s="47" t="s">
        <v>84</v>
      </c>
      <c r="D161" s="44" t="s">
        <v>88</v>
      </c>
      <c r="E161" s="44" t="s">
        <v>92</v>
      </c>
      <c r="F161" s="44" t="s">
        <v>93</v>
      </c>
      <c r="G161" s="44" t="s">
        <v>165</v>
      </c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48"/>
      <c r="U161" s="49" t="e">
        <f>ROUND(M161/P161,2)</f>
        <v>#DIV/0!</v>
      </c>
      <c r="V161" s="58" t="e">
        <f t="shared" si="14"/>
        <v>#DIV/0!</v>
      </c>
    </row>
    <row r="162" spans="1:22" s="50" customFormat="1" ht="25.5" hidden="1" customHeight="1" x14ac:dyDescent="0.2">
      <c r="A162" s="117"/>
      <c r="B162" s="118"/>
      <c r="C162" s="47" t="s">
        <v>84</v>
      </c>
      <c r="D162" s="44" t="s">
        <v>88</v>
      </c>
      <c r="E162" s="44" t="s">
        <v>92</v>
      </c>
      <c r="F162" s="44" t="s">
        <v>93</v>
      </c>
      <c r="G162" s="44" t="s">
        <v>166</v>
      </c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48"/>
      <c r="U162" s="49" t="e">
        <f>ROUND(M162/P162,2)</f>
        <v>#DIV/0!</v>
      </c>
      <c r="V162" s="58" t="e">
        <f t="shared" si="14"/>
        <v>#DIV/0!</v>
      </c>
    </row>
    <row r="163" spans="1:22" s="55" customFormat="1" ht="25.5" hidden="1" customHeight="1" x14ac:dyDescent="0.2">
      <c r="A163" s="118"/>
      <c r="B163" s="56"/>
      <c r="C163" s="56" t="s">
        <v>152</v>
      </c>
      <c r="D163" s="57"/>
      <c r="E163" s="57"/>
      <c r="F163" s="57"/>
      <c r="G163" s="57"/>
      <c r="H163" s="28">
        <f>SUM(P159:P162)</f>
        <v>0</v>
      </c>
      <c r="I163" s="28">
        <f>SUM(I158:I162)</f>
        <v>0</v>
      </c>
      <c r="J163" s="28">
        <f t="shared" ref="J163:Q163" si="17">SUM(J158:J162)</f>
        <v>0</v>
      </c>
      <c r="K163" s="28">
        <f t="shared" si="17"/>
        <v>0</v>
      </c>
      <c r="L163" s="28">
        <f t="shared" si="17"/>
        <v>0</v>
      </c>
      <c r="M163" s="28">
        <f t="shared" si="17"/>
        <v>0</v>
      </c>
      <c r="N163" s="28">
        <f t="shared" si="17"/>
        <v>0</v>
      </c>
      <c r="O163" s="28">
        <f t="shared" si="17"/>
        <v>0</v>
      </c>
      <c r="P163" s="28">
        <f>SUM(P159:P162)</f>
        <v>0</v>
      </c>
      <c r="Q163" s="28">
        <f t="shared" si="17"/>
        <v>0</v>
      </c>
      <c r="R163" s="28">
        <f>SUM(R159:R162)</f>
        <v>0</v>
      </c>
      <c r="S163" s="28">
        <f>SUM(S159:S162)</f>
        <v>0</v>
      </c>
      <c r="T163" s="54"/>
      <c r="V163" s="58" t="e">
        <f t="shared" si="14"/>
        <v>#DIV/0!</v>
      </c>
    </row>
    <row r="164" spans="1:22" s="50" customFormat="1" ht="25.5" customHeight="1" x14ac:dyDescent="0.2">
      <c r="A164" s="116" t="s">
        <v>53</v>
      </c>
      <c r="B164" s="113" t="s">
        <v>87</v>
      </c>
      <c r="C164" s="47" t="s">
        <v>34</v>
      </c>
      <c r="D164" s="44" t="s">
        <v>95</v>
      </c>
      <c r="E164" s="44" t="s">
        <v>95</v>
      </c>
      <c r="F164" s="44" t="s">
        <v>95</v>
      </c>
      <c r="G164" s="44" t="s">
        <v>95</v>
      </c>
      <c r="H164" s="28">
        <f t="shared" ref="H164:R164" si="18">SUM(H166:H211)</f>
        <v>54095.225999999995</v>
      </c>
      <c r="I164" s="28">
        <f t="shared" si="18"/>
        <v>53861.564999999988</v>
      </c>
      <c r="J164" s="28">
        <f t="shared" si="18"/>
        <v>11374.589999999998</v>
      </c>
      <c r="K164" s="28">
        <f t="shared" si="18"/>
        <v>10977.781999999997</v>
      </c>
      <c r="L164" s="28">
        <f t="shared" si="18"/>
        <v>26293.153999999995</v>
      </c>
      <c r="M164" s="28">
        <f t="shared" si="18"/>
        <v>25667.752999999997</v>
      </c>
      <c r="N164" s="28">
        <f t="shared" si="18"/>
        <v>37100.961000000003</v>
      </c>
      <c r="O164" s="28">
        <f t="shared" si="18"/>
        <v>36609.317000000003</v>
      </c>
      <c r="P164" s="28">
        <f t="shared" si="18"/>
        <v>56220.575000000004</v>
      </c>
      <c r="Q164" s="28">
        <f t="shared" si="18"/>
        <v>56011.61700000002</v>
      </c>
      <c r="R164" s="28">
        <f t="shared" si="18"/>
        <v>53255.189000000006</v>
      </c>
      <c r="S164" s="28">
        <f>R164</f>
        <v>53255.189000000006</v>
      </c>
      <c r="T164" s="48"/>
      <c r="V164" s="58">
        <f t="shared" si="14"/>
        <v>99.628324683623418</v>
      </c>
    </row>
    <row r="165" spans="1:22" s="50" customFormat="1" ht="25.5" customHeight="1" x14ac:dyDescent="0.2">
      <c r="A165" s="117"/>
      <c r="B165" s="114"/>
      <c r="C165" s="47" t="s">
        <v>71</v>
      </c>
      <c r="D165" s="44"/>
      <c r="E165" s="44"/>
      <c r="F165" s="44"/>
      <c r="G165" s="44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8">
        <f>R165</f>
        <v>0</v>
      </c>
      <c r="T165" s="48"/>
      <c r="V165" s="58" t="e">
        <f t="shared" si="14"/>
        <v>#DIV/0!</v>
      </c>
    </row>
    <row r="166" spans="1:22" s="50" customFormat="1" ht="25.5" customHeight="1" x14ac:dyDescent="0.2">
      <c r="A166" s="117"/>
      <c r="B166" s="114"/>
      <c r="C166" s="47" t="s">
        <v>84</v>
      </c>
      <c r="D166" s="44" t="s">
        <v>88</v>
      </c>
      <c r="E166" s="44" t="s">
        <v>92</v>
      </c>
      <c r="F166" s="44" t="s">
        <v>191</v>
      </c>
      <c r="G166" s="44" t="s">
        <v>167</v>
      </c>
      <c r="H166" s="29">
        <v>20583.682000000001</v>
      </c>
      <c r="I166" s="29">
        <f>20583.136-0.001</f>
        <v>20583.134999999998</v>
      </c>
      <c r="J166" s="29">
        <v>4005.623</v>
      </c>
      <c r="K166" s="29">
        <v>4005.623</v>
      </c>
      <c r="L166" s="29">
        <v>9352.732</v>
      </c>
      <c r="M166" s="29">
        <v>9352.732</v>
      </c>
      <c r="N166" s="29">
        <v>14459.257</v>
      </c>
      <c r="O166" s="29">
        <v>14403.225</v>
      </c>
      <c r="P166" s="29">
        <v>21650.922999999999</v>
      </c>
      <c r="Q166" s="29">
        <v>21622.524000000001</v>
      </c>
      <c r="R166" s="29">
        <v>21681.9</v>
      </c>
      <c r="S166" s="29">
        <v>21681.9</v>
      </c>
      <c r="T166" s="48" t="s">
        <v>255</v>
      </c>
      <c r="U166" s="49">
        <f t="shared" ref="U166:U187" si="19">ROUND(M166/P166,2)</f>
        <v>0.43</v>
      </c>
      <c r="V166" s="58">
        <f t="shared" si="14"/>
        <v>99.868832381880452</v>
      </c>
    </row>
    <row r="167" spans="1:22" s="50" customFormat="1" ht="25.5" customHeight="1" x14ac:dyDescent="0.2">
      <c r="A167" s="117"/>
      <c r="B167" s="114"/>
      <c r="C167" s="47" t="s">
        <v>84</v>
      </c>
      <c r="D167" s="44" t="s">
        <v>88</v>
      </c>
      <c r="E167" s="44" t="s">
        <v>92</v>
      </c>
      <c r="F167" s="44" t="s">
        <v>180</v>
      </c>
      <c r="G167" s="44" t="s">
        <v>167</v>
      </c>
      <c r="H167" s="29">
        <v>544.10400000000004</v>
      </c>
      <c r="I167" s="29">
        <v>544.10400000000004</v>
      </c>
      <c r="J167" s="29">
        <v>798.60900000000004</v>
      </c>
      <c r="K167" s="29">
        <v>500.197</v>
      </c>
      <c r="L167" s="29">
        <v>1597.2180000000001</v>
      </c>
      <c r="M167" s="29">
        <v>1195.9860000000001</v>
      </c>
      <c r="N167" s="29">
        <v>1597.2180000000001</v>
      </c>
      <c r="O167" s="29">
        <v>1488.1210000000001</v>
      </c>
      <c r="P167" s="29">
        <v>1597.2180000000001</v>
      </c>
      <c r="Q167" s="29">
        <v>1597.2180000000001</v>
      </c>
      <c r="R167" s="29"/>
      <c r="S167" s="29"/>
      <c r="T167" s="48" t="s">
        <v>255</v>
      </c>
      <c r="U167" s="49">
        <f t="shared" si="19"/>
        <v>0.75</v>
      </c>
      <c r="V167" s="58">
        <f t="shared" si="14"/>
        <v>100</v>
      </c>
    </row>
    <row r="168" spans="1:22" s="50" customFormat="1" ht="25.5" customHeight="1" x14ac:dyDescent="0.2">
      <c r="A168" s="117"/>
      <c r="B168" s="114"/>
      <c r="C168" s="47" t="s">
        <v>84</v>
      </c>
      <c r="D168" s="44" t="s">
        <v>88</v>
      </c>
      <c r="E168" s="44" t="s">
        <v>92</v>
      </c>
      <c r="F168" s="44" t="s">
        <v>180</v>
      </c>
      <c r="G168" s="44" t="s">
        <v>174</v>
      </c>
      <c r="H168" s="29">
        <v>163.71700000000001</v>
      </c>
      <c r="I168" s="29">
        <v>163.71700000000001</v>
      </c>
      <c r="J168" s="29">
        <v>241.18199999999999</v>
      </c>
      <c r="K168" s="29">
        <v>160.78899999999999</v>
      </c>
      <c r="L168" s="29">
        <v>482.36200000000002</v>
      </c>
      <c r="M168" s="29">
        <v>361.18900000000002</v>
      </c>
      <c r="N168" s="29">
        <v>482.36200000000002</v>
      </c>
      <c r="O168" s="29">
        <v>449.41399999999999</v>
      </c>
      <c r="P168" s="29">
        <v>482.36200000000002</v>
      </c>
      <c r="Q168" s="29">
        <v>482.36200000000002</v>
      </c>
      <c r="R168" s="29"/>
      <c r="S168" s="29"/>
      <c r="T168" s="48" t="s">
        <v>255</v>
      </c>
      <c r="U168" s="49">
        <f t="shared" si="19"/>
        <v>0.75</v>
      </c>
      <c r="V168" s="58">
        <f t="shared" si="14"/>
        <v>100</v>
      </c>
    </row>
    <row r="169" spans="1:22" s="50" customFormat="1" ht="25.5" customHeight="1" x14ac:dyDescent="0.2">
      <c r="A169" s="117"/>
      <c r="B169" s="114"/>
      <c r="C169" s="47" t="s">
        <v>84</v>
      </c>
      <c r="D169" s="44" t="s">
        <v>88</v>
      </c>
      <c r="E169" s="44" t="s">
        <v>92</v>
      </c>
      <c r="F169" s="44" t="s">
        <v>191</v>
      </c>
      <c r="G169" s="44" t="s">
        <v>168</v>
      </c>
      <c r="H169" s="29">
        <v>137.19</v>
      </c>
      <c r="I169" s="29">
        <v>125.26</v>
      </c>
      <c r="J169" s="29">
        <v>9.6310000000000002</v>
      </c>
      <c r="K169" s="29">
        <v>6.931</v>
      </c>
      <c r="L169" s="29">
        <v>57.244</v>
      </c>
      <c r="M169" s="29">
        <v>45.444000000000003</v>
      </c>
      <c r="N169" s="29">
        <v>73.486000000000004</v>
      </c>
      <c r="O169" s="29">
        <v>71.986000000000004</v>
      </c>
      <c r="P169" s="29">
        <v>113.60299999999999</v>
      </c>
      <c r="Q169" s="29">
        <v>84.316000000000003</v>
      </c>
      <c r="R169" s="29">
        <v>150.6</v>
      </c>
      <c r="S169" s="29">
        <v>150.6</v>
      </c>
      <c r="T169" s="48" t="s">
        <v>259</v>
      </c>
      <c r="U169" s="49">
        <f t="shared" si="19"/>
        <v>0.4</v>
      </c>
      <c r="V169" s="58">
        <f t="shared" si="14"/>
        <v>74.219870954112139</v>
      </c>
    </row>
    <row r="170" spans="1:22" s="50" customFormat="1" ht="25.5" customHeight="1" x14ac:dyDescent="0.2">
      <c r="A170" s="117"/>
      <c r="B170" s="114"/>
      <c r="C170" s="47" t="s">
        <v>84</v>
      </c>
      <c r="D170" s="44" t="s">
        <v>88</v>
      </c>
      <c r="E170" s="44" t="s">
        <v>92</v>
      </c>
      <c r="F170" s="44" t="s">
        <v>191</v>
      </c>
      <c r="G170" s="44" t="s">
        <v>174</v>
      </c>
      <c r="H170" s="29">
        <v>6225.8630000000003</v>
      </c>
      <c r="I170" s="29">
        <v>6204.3729999999996</v>
      </c>
      <c r="J170" s="29">
        <v>1133.7650000000001</v>
      </c>
      <c r="K170" s="29">
        <v>1133.7639999999999</v>
      </c>
      <c r="L170" s="29">
        <v>2697.6970000000001</v>
      </c>
      <c r="M170" s="29">
        <v>2697.6970000000001</v>
      </c>
      <c r="N170" s="29">
        <v>4417.2359999999999</v>
      </c>
      <c r="O170" s="29">
        <v>4256.5119999999997</v>
      </c>
      <c r="P170" s="29">
        <v>6548</v>
      </c>
      <c r="Q170" s="29">
        <v>6540.3230000000003</v>
      </c>
      <c r="R170" s="29">
        <v>6548</v>
      </c>
      <c r="S170" s="29">
        <v>6548</v>
      </c>
      <c r="T170" s="48" t="s">
        <v>255</v>
      </c>
      <c r="U170" s="49">
        <f t="shared" si="19"/>
        <v>0.41</v>
      </c>
      <c r="V170" s="58">
        <f t="shared" si="14"/>
        <v>99.882758094074532</v>
      </c>
    </row>
    <row r="171" spans="1:22" s="50" customFormat="1" ht="25.5" customHeight="1" x14ac:dyDescent="0.2">
      <c r="A171" s="117"/>
      <c r="B171" s="114"/>
      <c r="C171" s="47" t="s">
        <v>84</v>
      </c>
      <c r="D171" s="44" t="s">
        <v>88</v>
      </c>
      <c r="E171" s="44" t="s">
        <v>92</v>
      </c>
      <c r="F171" s="44" t="s">
        <v>191</v>
      </c>
      <c r="G171" s="44" t="s">
        <v>166</v>
      </c>
      <c r="H171" s="29">
        <f>14431.126+53.453</f>
        <v>14484.579</v>
      </c>
      <c r="I171" s="29">
        <f>14357.738+53.453</f>
        <v>14411.190999999999</v>
      </c>
      <c r="J171" s="29">
        <v>2660.8240000000001</v>
      </c>
      <c r="K171" s="29">
        <v>2646.7730000000001</v>
      </c>
      <c r="L171" s="29">
        <v>6811.1670000000004</v>
      </c>
      <c r="M171" s="29">
        <v>6745.8770000000004</v>
      </c>
      <c r="N171" s="29">
        <v>8523.4789999999994</v>
      </c>
      <c r="O171" s="29">
        <v>8493.3510000000006</v>
      </c>
      <c r="P171" s="29">
        <v>13551.129000000001</v>
      </c>
      <c r="Q171" s="29">
        <v>13503.65</v>
      </c>
      <c r="R171" s="29">
        <v>13673.632</v>
      </c>
      <c r="S171" s="29">
        <v>13673.632</v>
      </c>
      <c r="T171" s="48" t="s">
        <v>255</v>
      </c>
      <c r="U171" s="49">
        <f t="shared" si="19"/>
        <v>0.5</v>
      </c>
      <c r="V171" s="58">
        <f t="shared" si="14"/>
        <v>99.649630669149403</v>
      </c>
    </row>
    <row r="172" spans="1:22" s="50" customFormat="1" ht="25.5" customHeight="1" x14ac:dyDescent="0.2">
      <c r="A172" s="117"/>
      <c r="B172" s="114"/>
      <c r="C172" s="47" t="s">
        <v>84</v>
      </c>
      <c r="D172" s="44" t="s">
        <v>88</v>
      </c>
      <c r="E172" s="44" t="s">
        <v>92</v>
      </c>
      <c r="F172" s="44" t="s">
        <v>191</v>
      </c>
      <c r="G172" s="44" t="s">
        <v>169</v>
      </c>
      <c r="H172" s="29">
        <v>18.167999999999999</v>
      </c>
      <c r="I172" s="29">
        <v>18.167999999999999</v>
      </c>
      <c r="J172" s="29">
        <v>4.5419999999999998</v>
      </c>
      <c r="K172" s="29">
        <v>4.5419999999999998</v>
      </c>
      <c r="L172" s="29">
        <v>9.0839999999999996</v>
      </c>
      <c r="M172" s="29">
        <v>9.0839999999999996</v>
      </c>
      <c r="N172" s="29">
        <v>13.625999999999999</v>
      </c>
      <c r="O172" s="29">
        <v>13.625999999999999</v>
      </c>
      <c r="P172" s="29">
        <v>18.167999999999999</v>
      </c>
      <c r="Q172" s="29">
        <v>18.167999999999999</v>
      </c>
      <c r="R172" s="29">
        <v>18.167999999999999</v>
      </c>
      <c r="S172" s="29">
        <v>18.167999999999999</v>
      </c>
      <c r="T172" s="48" t="s">
        <v>255</v>
      </c>
      <c r="U172" s="49">
        <f t="shared" si="19"/>
        <v>0.5</v>
      </c>
      <c r="V172" s="58">
        <f t="shared" si="14"/>
        <v>100</v>
      </c>
    </row>
    <row r="173" spans="1:22" s="50" customFormat="1" ht="28.5" customHeight="1" x14ac:dyDescent="0.2">
      <c r="A173" s="117"/>
      <c r="B173" s="114"/>
      <c r="C173" s="47" t="s">
        <v>84</v>
      </c>
      <c r="D173" s="44" t="s">
        <v>88</v>
      </c>
      <c r="E173" s="44" t="s">
        <v>92</v>
      </c>
      <c r="F173" s="44" t="s">
        <v>191</v>
      </c>
      <c r="G173" s="44" t="s">
        <v>170</v>
      </c>
      <c r="H173" s="29">
        <v>17.422000000000001</v>
      </c>
      <c r="I173" s="29">
        <v>11.906000000000001</v>
      </c>
      <c r="J173" s="29">
        <v>0</v>
      </c>
      <c r="K173" s="29">
        <v>0</v>
      </c>
      <c r="L173" s="29">
        <v>9.6</v>
      </c>
      <c r="M173" s="29">
        <v>9.6</v>
      </c>
      <c r="N173" s="29">
        <v>10</v>
      </c>
      <c r="O173" s="29">
        <v>10</v>
      </c>
      <c r="P173" s="29">
        <v>27.45</v>
      </c>
      <c r="Q173" s="29">
        <v>18.55</v>
      </c>
      <c r="R173" s="29">
        <v>49.9</v>
      </c>
      <c r="S173" s="29">
        <v>49.9</v>
      </c>
      <c r="T173" s="48" t="s">
        <v>260</v>
      </c>
      <c r="U173" s="49">
        <f t="shared" si="19"/>
        <v>0.35</v>
      </c>
      <c r="V173" s="58">
        <f t="shared" si="14"/>
        <v>67.577413479052822</v>
      </c>
    </row>
    <row r="174" spans="1:22" s="50" customFormat="1" ht="25.5" customHeight="1" x14ac:dyDescent="0.2">
      <c r="A174" s="117"/>
      <c r="B174" s="114"/>
      <c r="C174" s="47" t="s">
        <v>84</v>
      </c>
      <c r="D174" s="44" t="s">
        <v>88</v>
      </c>
      <c r="E174" s="44" t="s">
        <v>92</v>
      </c>
      <c r="F174" s="44" t="s">
        <v>191</v>
      </c>
      <c r="G174" s="44" t="s">
        <v>210</v>
      </c>
      <c r="H174" s="29">
        <v>2.552</v>
      </c>
      <c r="I174" s="29">
        <v>2.206</v>
      </c>
      <c r="J174" s="29">
        <v>1.3839999999999999</v>
      </c>
      <c r="K174" s="29">
        <v>1.3839999999999999</v>
      </c>
      <c r="L174" s="29">
        <v>1.3839999999999999</v>
      </c>
      <c r="M174" s="29">
        <v>1.3839999999999999</v>
      </c>
      <c r="N174" s="29">
        <v>1.3839999999999999</v>
      </c>
      <c r="O174" s="29">
        <v>1.3839999999999999</v>
      </c>
      <c r="P174" s="29">
        <v>2.4500000000000002</v>
      </c>
      <c r="Q174" s="29">
        <v>1.3839999999999999</v>
      </c>
      <c r="R174" s="29"/>
      <c r="S174" s="29"/>
      <c r="T174" s="48" t="s">
        <v>261</v>
      </c>
      <c r="U174" s="49">
        <f>ROUND(M174/P174,2)</f>
        <v>0.56000000000000005</v>
      </c>
      <c r="V174" s="58">
        <f t="shared" si="14"/>
        <v>56.489795918367335</v>
      </c>
    </row>
    <row r="175" spans="1:22" s="50" customFormat="1" ht="25.5" customHeight="1" x14ac:dyDescent="0.2">
      <c r="A175" s="117"/>
      <c r="B175" s="114"/>
      <c r="C175" s="47" t="s">
        <v>84</v>
      </c>
      <c r="D175" s="44" t="s">
        <v>88</v>
      </c>
      <c r="E175" s="44" t="s">
        <v>92</v>
      </c>
      <c r="F175" s="44" t="s">
        <v>191</v>
      </c>
      <c r="G175" s="44" t="s">
        <v>224</v>
      </c>
      <c r="H175" s="29">
        <v>0</v>
      </c>
      <c r="I175" s="29">
        <v>0</v>
      </c>
      <c r="J175" s="29"/>
      <c r="K175" s="29"/>
      <c r="L175" s="29">
        <v>30.977</v>
      </c>
      <c r="M175" s="29">
        <v>30.977</v>
      </c>
      <c r="N175" s="29">
        <v>30.977</v>
      </c>
      <c r="O175" s="29">
        <v>30.977</v>
      </c>
      <c r="P175" s="29">
        <v>30.977</v>
      </c>
      <c r="Q175" s="29">
        <v>30.977</v>
      </c>
      <c r="R175" s="29"/>
      <c r="S175" s="29"/>
      <c r="T175" s="48" t="s">
        <v>255</v>
      </c>
      <c r="U175" s="49">
        <f>ROUND(M175/P175,2)</f>
        <v>1</v>
      </c>
      <c r="V175" s="58">
        <f t="shared" si="14"/>
        <v>100</v>
      </c>
    </row>
    <row r="176" spans="1:22" s="50" customFormat="1" ht="30.75" customHeight="1" x14ac:dyDescent="0.2">
      <c r="A176" s="117"/>
      <c r="B176" s="114"/>
      <c r="C176" s="47" t="s">
        <v>84</v>
      </c>
      <c r="D176" s="44" t="s">
        <v>88</v>
      </c>
      <c r="E176" s="44" t="s">
        <v>92</v>
      </c>
      <c r="F176" s="44" t="s">
        <v>211</v>
      </c>
      <c r="G176" s="44" t="s">
        <v>166</v>
      </c>
      <c r="H176" s="29">
        <v>5.2729999999999997</v>
      </c>
      <c r="I176" s="29">
        <v>4.3609999999999998</v>
      </c>
      <c r="J176" s="29">
        <v>0.22800000000000001</v>
      </c>
      <c r="K176" s="29">
        <v>0.22800000000000001</v>
      </c>
      <c r="L176" s="29">
        <v>1.893</v>
      </c>
      <c r="M176" s="29">
        <v>1.893</v>
      </c>
      <c r="N176" s="29">
        <v>3.5110000000000001</v>
      </c>
      <c r="O176" s="29">
        <v>3.5089999999999999</v>
      </c>
      <c r="P176" s="29">
        <v>5.4889999999999999</v>
      </c>
      <c r="Q176" s="29">
        <v>2.605</v>
      </c>
      <c r="R176" s="29">
        <v>5.4889999999999999</v>
      </c>
      <c r="S176" s="29">
        <v>5.4889999999999999</v>
      </c>
      <c r="T176" s="48" t="s">
        <v>262</v>
      </c>
      <c r="U176" s="49">
        <f t="shared" si="19"/>
        <v>0.34</v>
      </c>
      <c r="V176" s="58">
        <f t="shared" si="14"/>
        <v>47.45855347057752</v>
      </c>
    </row>
    <row r="177" spans="1:22" s="50" customFormat="1" ht="25.5" customHeight="1" x14ac:dyDescent="0.2">
      <c r="A177" s="117"/>
      <c r="B177" s="114"/>
      <c r="C177" s="47" t="s">
        <v>84</v>
      </c>
      <c r="D177" s="44" t="s">
        <v>88</v>
      </c>
      <c r="E177" s="44" t="s">
        <v>92</v>
      </c>
      <c r="F177" s="44" t="s">
        <v>201</v>
      </c>
      <c r="G177" s="44" t="s">
        <v>164</v>
      </c>
      <c r="H177" s="29">
        <v>3126.1</v>
      </c>
      <c r="I177" s="29">
        <v>3125.8670000000002</v>
      </c>
      <c r="J177" s="29">
        <v>892.7</v>
      </c>
      <c r="K177" s="29">
        <v>892.7</v>
      </c>
      <c r="L177" s="29">
        <v>1754.46</v>
      </c>
      <c r="M177" s="29">
        <v>1754.46</v>
      </c>
      <c r="N177" s="29">
        <v>2539.9499999999998</v>
      </c>
      <c r="O177" s="29">
        <v>2511.08</v>
      </c>
      <c r="P177" s="29">
        <v>3867.8919999999998</v>
      </c>
      <c r="Q177" s="29">
        <v>3859.7240000000002</v>
      </c>
      <c r="R177" s="29">
        <v>3869.4</v>
      </c>
      <c r="S177" s="29">
        <v>3869.4</v>
      </c>
      <c r="T177" s="48" t="s">
        <v>255</v>
      </c>
      <c r="U177" s="49">
        <f t="shared" si="19"/>
        <v>0.45</v>
      </c>
      <c r="V177" s="58">
        <f t="shared" si="14"/>
        <v>99.788825541147489</v>
      </c>
    </row>
    <row r="178" spans="1:22" s="50" customFormat="1" ht="33" customHeight="1" x14ac:dyDescent="0.2">
      <c r="A178" s="117"/>
      <c r="B178" s="114"/>
      <c r="C178" s="47" t="s">
        <v>84</v>
      </c>
      <c r="D178" s="44" t="s">
        <v>88</v>
      </c>
      <c r="E178" s="44" t="s">
        <v>92</v>
      </c>
      <c r="F178" s="44" t="s">
        <v>201</v>
      </c>
      <c r="G178" s="44" t="s">
        <v>165</v>
      </c>
      <c r="H178" s="29">
        <v>158.20400000000001</v>
      </c>
      <c r="I178" s="29">
        <v>157.536</v>
      </c>
      <c r="J178" s="29">
        <v>27.713000000000001</v>
      </c>
      <c r="K178" s="29">
        <v>27.713000000000001</v>
      </c>
      <c r="L178" s="29">
        <v>81.049000000000007</v>
      </c>
      <c r="M178" s="29">
        <v>74.094999999999999</v>
      </c>
      <c r="N178" s="29">
        <v>93.998000000000005</v>
      </c>
      <c r="O178" s="29">
        <v>93.998000000000005</v>
      </c>
      <c r="P178" s="29">
        <v>142.5</v>
      </c>
      <c r="Q178" s="29">
        <v>118.389</v>
      </c>
      <c r="R178" s="29">
        <v>142.5</v>
      </c>
      <c r="S178" s="29">
        <v>142.5</v>
      </c>
      <c r="T178" s="48" t="s">
        <v>263</v>
      </c>
      <c r="U178" s="49">
        <f t="shared" si="19"/>
        <v>0.52</v>
      </c>
      <c r="V178" s="58">
        <f t="shared" si="14"/>
        <v>83.08</v>
      </c>
    </row>
    <row r="179" spans="1:22" s="50" customFormat="1" ht="25.5" customHeight="1" x14ac:dyDescent="0.2">
      <c r="A179" s="117"/>
      <c r="B179" s="114"/>
      <c r="C179" s="47" t="s">
        <v>84</v>
      </c>
      <c r="D179" s="44" t="s">
        <v>88</v>
      </c>
      <c r="E179" s="44" t="s">
        <v>92</v>
      </c>
      <c r="F179" s="44" t="s">
        <v>201</v>
      </c>
      <c r="G179" s="44" t="s">
        <v>190</v>
      </c>
      <c r="H179" s="29">
        <v>944.08199999999999</v>
      </c>
      <c r="I179" s="29">
        <v>935.90800000000002</v>
      </c>
      <c r="J179" s="29">
        <v>230.56899999999999</v>
      </c>
      <c r="K179" s="29">
        <v>230.56899999999999</v>
      </c>
      <c r="L179" s="29">
        <v>468.666</v>
      </c>
      <c r="M179" s="29">
        <v>468.666</v>
      </c>
      <c r="N179" s="29">
        <v>733.16399999999999</v>
      </c>
      <c r="O179" s="29">
        <v>709.78200000000004</v>
      </c>
      <c r="P179" s="29">
        <v>1168.55</v>
      </c>
      <c r="Q179" s="29">
        <v>1168.518</v>
      </c>
      <c r="R179" s="29">
        <v>1168.55</v>
      </c>
      <c r="S179" s="29">
        <v>1168.55</v>
      </c>
      <c r="T179" s="48" t="s">
        <v>255</v>
      </c>
      <c r="U179" s="49">
        <f t="shared" si="19"/>
        <v>0.4</v>
      </c>
      <c r="V179" s="58">
        <f t="shared" si="14"/>
        <v>99.997261563476115</v>
      </c>
    </row>
    <row r="180" spans="1:22" s="50" customFormat="1" ht="30.75" customHeight="1" x14ac:dyDescent="0.2">
      <c r="A180" s="117"/>
      <c r="B180" s="114"/>
      <c r="C180" s="47" t="s">
        <v>84</v>
      </c>
      <c r="D180" s="44" t="s">
        <v>88</v>
      </c>
      <c r="E180" s="44" t="s">
        <v>92</v>
      </c>
      <c r="F180" s="44" t="s">
        <v>201</v>
      </c>
      <c r="G180" s="44" t="s">
        <v>166</v>
      </c>
      <c r="H180" s="29">
        <v>1450.4</v>
      </c>
      <c r="I180" s="29">
        <v>1416.35</v>
      </c>
      <c r="J180" s="29">
        <v>260.66199999999998</v>
      </c>
      <c r="K180" s="29">
        <v>260.66199999999998</v>
      </c>
      <c r="L180" s="29">
        <v>426.82799999999997</v>
      </c>
      <c r="M180" s="29">
        <v>410.37799999999999</v>
      </c>
      <c r="N180" s="29">
        <v>665.24699999999996</v>
      </c>
      <c r="O180" s="29">
        <v>618.78800000000001</v>
      </c>
      <c r="P180" s="29">
        <v>1144.367</v>
      </c>
      <c r="Q180" s="29">
        <v>1114.6189999999999</v>
      </c>
      <c r="R180" s="29">
        <v>1144.367</v>
      </c>
      <c r="S180" s="29">
        <v>1144.367</v>
      </c>
      <c r="T180" s="48" t="s">
        <v>264</v>
      </c>
      <c r="U180" s="49">
        <f t="shared" si="19"/>
        <v>0.36</v>
      </c>
      <c r="V180" s="58">
        <f t="shared" si="14"/>
        <v>97.400484285198701</v>
      </c>
    </row>
    <row r="181" spans="1:22" s="50" customFormat="1" ht="25.5" customHeight="1" x14ac:dyDescent="0.2">
      <c r="A181" s="117"/>
      <c r="B181" s="114"/>
      <c r="C181" s="47" t="s">
        <v>84</v>
      </c>
      <c r="D181" s="44" t="s">
        <v>88</v>
      </c>
      <c r="E181" s="44" t="s">
        <v>92</v>
      </c>
      <c r="F181" s="44" t="s">
        <v>201</v>
      </c>
      <c r="G181" s="44" t="s">
        <v>169</v>
      </c>
      <c r="H181" s="29">
        <v>31.036000000000001</v>
      </c>
      <c r="I181" s="29">
        <v>31.036000000000001</v>
      </c>
      <c r="J181" s="29">
        <v>7.7590000000000003</v>
      </c>
      <c r="K181" s="29">
        <v>7.7590000000000003</v>
      </c>
      <c r="L181" s="29">
        <v>15.518000000000001</v>
      </c>
      <c r="M181" s="29">
        <v>15.518000000000001</v>
      </c>
      <c r="N181" s="29">
        <v>23.277000000000001</v>
      </c>
      <c r="O181" s="29">
        <v>23.277000000000001</v>
      </c>
      <c r="P181" s="29">
        <v>31.036000000000001</v>
      </c>
      <c r="Q181" s="29">
        <v>31.036000000000001</v>
      </c>
      <c r="R181" s="29">
        <v>31.036000000000001</v>
      </c>
      <c r="S181" s="29">
        <v>31.036000000000001</v>
      </c>
      <c r="T181" s="48" t="s">
        <v>255</v>
      </c>
      <c r="U181" s="49">
        <f t="shared" si="19"/>
        <v>0.5</v>
      </c>
      <c r="V181" s="58">
        <f t="shared" si="14"/>
        <v>100</v>
      </c>
    </row>
    <row r="182" spans="1:22" s="50" customFormat="1" ht="31.5" customHeight="1" x14ac:dyDescent="0.2">
      <c r="A182" s="117"/>
      <c r="B182" s="114"/>
      <c r="C182" s="47" t="s">
        <v>84</v>
      </c>
      <c r="D182" s="44" t="s">
        <v>88</v>
      </c>
      <c r="E182" s="44" t="s">
        <v>92</v>
      </c>
      <c r="F182" s="44" t="s">
        <v>201</v>
      </c>
      <c r="G182" s="44" t="s">
        <v>170</v>
      </c>
      <c r="H182" s="29">
        <v>0.76400000000000001</v>
      </c>
      <c r="I182" s="29">
        <v>0.3</v>
      </c>
      <c r="J182" s="29"/>
      <c r="K182" s="29"/>
      <c r="L182" s="29"/>
      <c r="M182" s="29"/>
      <c r="N182" s="29"/>
      <c r="O182" s="29"/>
      <c r="P182" s="29">
        <v>0.7</v>
      </c>
      <c r="Q182" s="29"/>
      <c r="R182" s="29">
        <v>0.7</v>
      </c>
      <c r="S182" s="29">
        <v>0.7</v>
      </c>
      <c r="T182" s="48"/>
      <c r="U182" s="49">
        <f t="shared" si="19"/>
        <v>0</v>
      </c>
      <c r="V182" s="58">
        <f t="shared" si="14"/>
        <v>0</v>
      </c>
    </row>
    <row r="183" spans="1:22" s="50" customFormat="1" ht="25.5" customHeight="1" x14ac:dyDescent="0.2">
      <c r="A183" s="117"/>
      <c r="B183" s="114"/>
      <c r="C183" s="47" t="s">
        <v>84</v>
      </c>
      <c r="D183" s="44" t="s">
        <v>88</v>
      </c>
      <c r="E183" s="44" t="s">
        <v>92</v>
      </c>
      <c r="F183" s="44" t="s">
        <v>212</v>
      </c>
      <c r="G183" s="44" t="s">
        <v>164</v>
      </c>
      <c r="H183" s="29">
        <v>255.54400000000001</v>
      </c>
      <c r="I183" s="29">
        <v>244.81299999999999</v>
      </c>
      <c r="J183" s="29">
        <v>63.313000000000002</v>
      </c>
      <c r="K183" s="29">
        <v>63.313000000000002</v>
      </c>
      <c r="L183" s="29">
        <v>130.87299999999999</v>
      </c>
      <c r="M183" s="29">
        <v>130.87299999999999</v>
      </c>
      <c r="N183" s="29">
        <v>200.11199999999999</v>
      </c>
      <c r="O183" s="29">
        <v>200.11199999999999</v>
      </c>
      <c r="P183" s="29">
        <v>277.30200000000002</v>
      </c>
      <c r="Q183" s="29">
        <v>277.30099999999999</v>
      </c>
      <c r="R183" s="29">
        <v>277.30200000000002</v>
      </c>
      <c r="S183" s="29">
        <v>277.30200000000002</v>
      </c>
      <c r="T183" s="48" t="s">
        <v>255</v>
      </c>
      <c r="U183" s="49">
        <f t="shared" si="19"/>
        <v>0.47</v>
      </c>
      <c r="V183" s="58">
        <f t="shared" si="14"/>
        <v>99.999639382334053</v>
      </c>
    </row>
    <row r="184" spans="1:22" s="50" customFormat="1" ht="25.5" customHeight="1" x14ac:dyDescent="0.2">
      <c r="A184" s="117"/>
      <c r="B184" s="114"/>
      <c r="C184" s="47" t="s">
        <v>84</v>
      </c>
      <c r="D184" s="44" t="s">
        <v>88</v>
      </c>
      <c r="E184" s="44" t="s">
        <v>92</v>
      </c>
      <c r="F184" s="44" t="s">
        <v>212</v>
      </c>
      <c r="G184" s="44" t="s">
        <v>190</v>
      </c>
      <c r="H184" s="29">
        <v>114.04900000000001</v>
      </c>
      <c r="I184" s="29">
        <v>109.55500000000001</v>
      </c>
      <c r="J184" s="29">
        <v>11.461</v>
      </c>
      <c r="K184" s="29">
        <v>11.461</v>
      </c>
      <c r="L184" s="29">
        <v>29.77</v>
      </c>
      <c r="M184" s="29">
        <v>29.77</v>
      </c>
      <c r="N184" s="29">
        <v>48.543999999999997</v>
      </c>
      <c r="O184" s="29">
        <v>48.543999999999997</v>
      </c>
      <c r="P184" s="29">
        <v>83.745000000000005</v>
      </c>
      <c r="Q184" s="29">
        <v>83.745000000000005</v>
      </c>
      <c r="R184" s="29">
        <f>83.745</f>
        <v>83.745000000000005</v>
      </c>
      <c r="S184" s="29">
        <v>83.745000000000005</v>
      </c>
      <c r="T184" s="48" t="s">
        <v>255</v>
      </c>
      <c r="U184" s="49">
        <f t="shared" si="19"/>
        <v>0.36</v>
      </c>
      <c r="V184" s="58">
        <f t="shared" si="14"/>
        <v>100</v>
      </c>
    </row>
    <row r="185" spans="1:22" s="50" customFormat="1" ht="25.5" customHeight="1" x14ac:dyDescent="0.2">
      <c r="A185" s="117"/>
      <c r="B185" s="114"/>
      <c r="C185" s="47" t="s">
        <v>84</v>
      </c>
      <c r="D185" s="44" t="s">
        <v>88</v>
      </c>
      <c r="E185" s="44" t="s">
        <v>92</v>
      </c>
      <c r="F185" s="44" t="s">
        <v>219</v>
      </c>
      <c r="G185" s="44" t="s">
        <v>159</v>
      </c>
      <c r="H185" s="29">
        <v>4143.5389999999998</v>
      </c>
      <c r="I185" s="29">
        <v>4082.8290000000002</v>
      </c>
      <c r="J185" s="29">
        <v>855.79100000000005</v>
      </c>
      <c r="K185" s="29">
        <v>854.54</v>
      </c>
      <c r="L185" s="29">
        <v>2093.4749999999999</v>
      </c>
      <c r="M185" s="29">
        <v>2090.973</v>
      </c>
      <c r="N185" s="29">
        <v>2868.2669999999998</v>
      </c>
      <c r="O185" s="29">
        <v>2865.7649999999999</v>
      </c>
      <c r="P185" s="29">
        <v>4359.8999999999996</v>
      </c>
      <c r="Q185" s="29">
        <v>4352.04</v>
      </c>
      <c r="R185" s="29">
        <v>4409.8999999999996</v>
      </c>
      <c r="S185" s="29">
        <v>4409.8999999999996</v>
      </c>
      <c r="T185" s="48" t="s">
        <v>255</v>
      </c>
      <c r="U185" s="49">
        <f t="shared" si="19"/>
        <v>0.48</v>
      </c>
      <c r="V185" s="58">
        <f t="shared" si="14"/>
        <v>99.819720635794411</v>
      </c>
    </row>
    <row r="186" spans="1:22" s="50" customFormat="1" ht="25.5" customHeight="1" x14ac:dyDescent="0.2">
      <c r="A186" s="117"/>
      <c r="B186" s="114"/>
      <c r="C186" s="47" t="s">
        <v>84</v>
      </c>
      <c r="D186" s="44" t="s">
        <v>88</v>
      </c>
      <c r="E186" s="44" t="s">
        <v>92</v>
      </c>
      <c r="F186" s="44" t="s">
        <v>180</v>
      </c>
      <c r="G186" s="44" t="s">
        <v>159</v>
      </c>
      <c r="H186" s="29">
        <v>12.308</v>
      </c>
      <c r="I186" s="29">
        <v>12.308</v>
      </c>
      <c r="J186" s="29">
        <v>69.807000000000002</v>
      </c>
      <c r="K186" s="29">
        <v>69.807000000000002</v>
      </c>
      <c r="L186" s="29">
        <v>139.61699999999999</v>
      </c>
      <c r="M186" s="29">
        <v>139.61699999999999</v>
      </c>
      <c r="N186" s="29">
        <v>213.316</v>
      </c>
      <c r="O186" s="29">
        <v>213.316</v>
      </c>
      <c r="P186" s="29">
        <v>213.316</v>
      </c>
      <c r="Q186" s="29">
        <v>213.316</v>
      </c>
      <c r="R186" s="29"/>
      <c r="S186" s="29"/>
      <c r="T186" s="48" t="s">
        <v>255</v>
      </c>
      <c r="U186" s="49">
        <f t="shared" si="19"/>
        <v>0.65</v>
      </c>
      <c r="V186" s="58">
        <f t="shared" si="14"/>
        <v>100</v>
      </c>
    </row>
    <row r="187" spans="1:22" s="50" customFormat="1" ht="25.5" customHeight="1" x14ac:dyDescent="0.2">
      <c r="A187" s="117"/>
      <c r="B187" s="114"/>
      <c r="C187" s="47" t="s">
        <v>84</v>
      </c>
      <c r="D187" s="44" t="s">
        <v>88</v>
      </c>
      <c r="E187" s="44" t="s">
        <v>92</v>
      </c>
      <c r="F187" s="44" t="s">
        <v>191</v>
      </c>
      <c r="G187" s="44" t="s">
        <v>224</v>
      </c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48"/>
      <c r="U187" s="49" t="e">
        <f t="shared" si="19"/>
        <v>#DIV/0!</v>
      </c>
      <c r="V187" s="58" t="e">
        <f t="shared" si="14"/>
        <v>#DIV/0!</v>
      </c>
    </row>
    <row r="188" spans="1:22" s="50" customFormat="1" ht="25.5" customHeight="1" x14ac:dyDescent="0.2">
      <c r="A188" s="117"/>
      <c r="B188" s="114"/>
      <c r="C188" s="47" t="s">
        <v>84</v>
      </c>
      <c r="D188" s="44" t="s">
        <v>88</v>
      </c>
      <c r="E188" s="44" t="s">
        <v>92</v>
      </c>
      <c r="F188" s="44" t="s">
        <v>201</v>
      </c>
      <c r="G188" s="44" t="s">
        <v>224</v>
      </c>
      <c r="H188" s="29"/>
      <c r="I188" s="29"/>
      <c r="J188" s="29"/>
      <c r="K188" s="29"/>
      <c r="L188" s="29">
        <v>1.508</v>
      </c>
      <c r="M188" s="29">
        <v>1.508</v>
      </c>
      <c r="N188" s="29">
        <v>1.508</v>
      </c>
      <c r="O188" s="29">
        <v>1.508</v>
      </c>
      <c r="P188" s="29">
        <v>1.508</v>
      </c>
      <c r="Q188" s="29">
        <v>1.508</v>
      </c>
      <c r="R188" s="29"/>
      <c r="S188" s="29"/>
      <c r="T188" s="48" t="s">
        <v>255</v>
      </c>
      <c r="U188" s="49">
        <f>ROUND(M188/P188,2)</f>
        <v>1</v>
      </c>
      <c r="V188" s="58">
        <f t="shared" si="14"/>
        <v>100</v>
      </c>
    </row>
    <row r="189" spans="1:22" s="50" customFormat="1" ht="25.5" customHeight="1" x14ac:dyDescent="0.2">
      <c r="A189" s="117"/>
      <c r="B189" s="114"/>
      <c r="C189" s="47" t="s">
        <v>84</v>
      </c>
      <c r="D189" s="44" t="s">
        <v>88</v>
      </c>
      <c r="E189" s="44" t="s">
        <v>92</v>
      </c>
      <c r="F189" s="44" t="s">
        <v>238</v>
      </c>
      <c r="G189" s="44" t="s">
        <v>164</v>
      </c>
      <c r="H189" s="29">
        <v>216.744</v>
      </c>
      <c r="I189" s="29">
        <v>216.744</v>
      </c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48"/>
      <c r="U189" s="49"/>
      <c r="V189" s="58" t="e">
        <f t="shared" si="14"/>
        <v>#DIV/0!</v>
      </c>
    </row>
    <row r="190" spans="1:22" s="50" customFormat="1" ht="25.5" customHeight="1" x14ac:dyDescent="0.2">
      <c r="A190" s="117"/>
      <c r="B190" s="114"/>
      <c r="C190" s="47" t="s">
        <v>84</v>
      </c>
      <c r="D190" s="44" t="s">
        <v>88</v>
      </c>
      <c r="E190" s="44" t="s">
        <v>92</v>
      </c>
      <c r="F190" s="44" t="s">
        <v>238</v>
      </c>
      <c r="G190" s="44" t="s">
        <v>190</v>
      </c>
      <c r="H190" s="29">
        <v>65.456000000000003</v>
      </c>
      <c r="I190" s="29">
        <v>65.456000000000003</v>
      </c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48"/>
      <c r="U190" s="49"/>
      <c r="V190" s="58" t="e">
        <f t="shared" si="14"/>
        <v>#DIV/0!</v>
      </c>
    </row>
    <row r="191" spans="1:22" s="50" customFormat="1" ht="25.5" customHeight="1" x14ac:dyDescent="0.2">
      <c r="A191" s="117"/>
      <c r="B191" s="114"/>
      <c r="C191" s="47" t="s">
        <v>84</v>
      </c>
      <c r="D191" s="44" t="s">
        <v>88</v>
      </c>
      <c r="E191" s="44" t="s">
        <v>92</v>
      </c>
      <c r="F191" s="44" t="s">
        <v>223</v>
      </c>
      <c r="G191" s="44" t="s">
        <v>160</v>
      </c>
      <c r="H191" s="29"/>
      <c r="I191" s="29"/>
      <c r="J191" s="29">
        <v>98.531999999999996</v>
      </c>
      <c r="K191" s="29">
        <v>98.531999999999996</v>
      </c>
      <c r="L191" s="29">
        <v>98.531999999999996</v>
      </c>
      <c r="M191" s="29">
        <v>98.531999999999996</v>
      </c>
      <c r="N191" s="29">
        <v>98.531999999999996</v>
      </c>
      <c r="O191" s="29">
        <v>98.531999999999996</v>
      </c>
      <c r="P191" s="29">
        <v>111.167</v>
      </c>
      <c r="Q191" s="29">
        <v>98.531999999999996</v>
      </c>
      <c r="R191" s="29"/>
      <c r="S191" s="29"/>
      <c r="T191" s="48" t="s">
        <v>265</v>
      </c>
      <c r="U191" s="49"/>
      <c r="V191" s="58">
        <f t="shared" si="14"/>
        <v>88.634216988854604</v>
      </c>
    </row>
    <row r="192" spans="1:22" s="50" customFormat="1" ht="25.5" customHeight="1" x14ac:dyDescent="0.2">
      <c r="A192" s="117"/>
      <c r="B192" s="114"/>
      <c r="C192" s="47" t="s">
        <v>84</v>
      </c>
      <c r="D192" s="44" t="s">
        <v>88</v>
      </c>
      <c r="E192" s="44" t="s">
        <v>92</v>
      </c>
      <c r="F192" s="44" t="s">
        <v>231</v>
      </c>
      <c r="G192" s="44" t="s">
        <v>159</v>
      </c>
      <c r="H192" s="29">
        <v>138.18899999999999</v>
      </c>
      <c r="I192" s="29">
        <v>138.18899999999999</v>
      </c>
      <c r="J192" s="29"/>
      <c r="K192" s="29"/>
      <c r="L192" s="29"/>
      <c r="M192" s="29"/>
      <c r="N192" s="29"/>
      <c r="O192" s="29"/>
      <c r="P192" s="29"/>
      <c r="Q192" s="29"/>
      <c r="R192" s="29"/>
      <c r="S192" s="29">
        <f t="shared" ref="S192:S198" si="20">R192</f>
        <v>0</v>
      </c>
      <c r="T192" s="48"/>
      <c r="U192" s="49"/>
      <c r="V192" s="58" t="e">
        <f t="shared" si="14"/>
        <v>#DIV/0!</v>
      </c>
    </row>
    <row r="193" spans="1:22" s="50" customFormat="1" ht="25.5" customHeight="1" x14ac:dyDescent="0.2">
      <c r="A193" s="117"/>
      <c r="B193" s="114"/>
      <c r="C193" s="47" t="s">
        <v>84</v>
      </c>
      <c r="D193" s="44" t="s">
        <v>88</v>
      </c>
      <c r="E193" s="44" t="s">
        <v>92</v>
      </c>
      <c r="F193" s="44" t="s">
        <v>231</v>
      </c>
      <c r="G193" s="44" t="s">
        <v>167</v>
      </c>
      <c r="H193" s="29">
        <v>826.98099999999999</v>
      </c>
      <c r="I193" s="29">
        <v>826.98099999999999</v>
      </c>
      <c r="J193" s="29"/>
      <c r="K193" s="29"/>
      <c r="L193" s="29"/>
      <c r="M193" s="29"/>
      <c r="N193" s="29"/>
      <c r="O193" s="29"/>
      <c r="P193" s="29"/>
      <c r="Q193" s="29"/>
      <c r="R193" s="29"/>
      <c r="S193" s="29">
        <f t="shared" si="20"/>
        <v>0</v>
      </c>
      <c r="T193" s="48"/>
      <c r="U193" s="49"/>
      <c r="V193" s="58" t="e">
        <f t="shared" si="14"/>
        <v>#DIV/0!</v>
      </c>
    </row>
    <row r="194" spans="1:22" s="50" customFormat="1" ht="25.5" customHeight="1" x14ac:dyDescent="0.2">
      <c r="A194" s="117"/>
      <c r="B194" s="114"/>
      <c r="C194" s="47" t="s">
        <v>84</v>
      </c>
      <c r="D194" s="44" t="s">
        <v>88</v>
      </c>
      <c r="E194" s="44" t="s">
        <v>92</v>
      </c>
      <c r="F194" s="44" t="s">
        <v>231</v>
      </c>
      <c r="G194" s="44" t="s">
        <v>174</v>
      </c>
      <c r="H194" s="29">
        <v>249.74799999999999</v>
      </c>
      <c r="I194" s="29">
        <v>249.74799999999999</v>
      </c>
      <c r="J194" s="29"/>
      <c r="K194" s="29"/>
      <c r="L194" s="29"/>
      <c r="M194" s="29"/>
      <c r="N194" s="29"/>
      <c r="O194" s="29"/>
      <c r="P194" s="29"/>
      <c r="Q194" s="29"/>
      <c r="R194" s="29"/>
      <c r="S194" s="29">
        <f t="shared" si="20"/>
        <v>0</v>
      </c>
      <c r="T194" s="48"/>
      <c r="U194" s="49"/>
      <c r="V194" s="58" t="e">
        <f t="shared" si="14"/>
        <v>#DIV/0!</v>
      </c>
    </row>
    <row r="195" spans="1:22" s="50" customFormat="1" ht="25.5" customHeight="1" x14ac:dyDescent="0.2">
      <c r="A195" s="117"/>
      <c r="B195" s="114"/>
      <c r="C195" s="47" t="s">
        <v>84</v>
      </c>
      <c r="D195" s="44" t="s">
        <v>88</v>
      </c>
      <c r="E195" s="44" t="s">
        <v>92</v>
      </c>
      <c r="F195" s="44" t="s">
        <v>231</v>
      </c>
      <c r="G195" s="44" t="s">
        <v>164</v>
      </c>
      <c r="H195" s="29">
        <v>10.621</v>
      </c>
      <c r="I195" s="29">
        <v>10.621</v>
      </c>
      <c r="J195" s="29"/>
      <c r="K195" s="29"/>
      <c r="L195" s="29"/>
      <c r="M195" s="29"/>
      <c r="N195" s="29"/>
      <c r="O195" s="29"/>
      <c r="P195" s="29"/>
      <c r="Q195" s="29"/>
      <c r="R195" s="29"/>
      <c r="S195" s="29">
        <f t="shared" si="20"/>
        <v>0</v>
      </c>
      <c r="T195" s="48"/>
      <c r="U195" s="49"/>
      <c r="V195" s="58" t="e">
        <f t="shared" si="14"/>
        <v>#DIV/0!</v>
      </c>
    </row>
    <row r="196" spans="1:22" s="50" customFormat="1" ht="25.5" customHeight="1" x14ac:dyDescent="0.2">
      <c r="A196" s="117"/>
      <c r="B196" s="114"/>
      <c r="C196" s="47" t="s">
        <v>84</v>
      </c>
      <c r="D196" s="44" t="s">
        <v>88</v>
      </c>
      <c r="E196" s="44" t="s">
        <v>92</v>
      </c>
      <c r="F196" s="44" t="s">
        <v>231</v>
      </c>
      <c r="G196" s="44" t="s">
        <v>190</v>
      </c>
      <c r="H196" s="29">
        <v>3.2080000000000002</v>
      </c>
      <c r="I196" s="29">
        <v>3.2080000000000002</v>
      </c>
      <c r="J196" s="29"/>
      <c r="K196" s="29"/>
      <c r="L196" s="29"/>
      <c r="M196" s="29"/>
      <c r="N196" s="29"/>
      <c r="O196" s="29"/>
      <c r="P196" s="29"/>
      <c r="Q196" s="29"/>
      <c r="R196" s="29"/>
      <c r="S196" s="29">
        <f t="shared" si="20"/>
        <v>0</v>
      </c>
      <c r="T196" s="48"/>
      <c r="U196" s="49"/>
      <c r="V196" s="58" t="e">
        <f t="shared" si="14"/>
        <v>#DIV/0!</v>
      </c>
    </row>
    <row r="197" spans="1:22" s="50" customFormat="1" ht="25.5" customHeight="1" x14ac:dyDescent="0.2">
      <c r="A197" s="117"/>
      <c r="B197" s="114"/>
      <c r="C197" s="47" t="s">
        <v>84</v>
      </c>
      <c r="D197" s="44" t="s">
        <v>88</v>
      </c>
      <c r="E197" s="44" t="s">
        <v>92</v>
      </c>
      <c r="F197" s="44" t="s">
        <v>232</v>
      </c>
      <c r="G197" s="44" t="s">
        <v>164</v>
      </c>
      <c r="H197" s="29">
        <v>125.038</v>
      </c>
      <c r="I197" s="29">
        <v>125.038</v>
      </c>
      <c r="J197" s="29"/>
      <c r="K197" s="29"/>
      <c r="L197" s="29"/>
      <c r="M197" s="29"/>
      <c r="N197" s="29"/>
      <c r="O197" s="29"/>
      <c r="P197" s="29"/>
      <c r="Q197" s="29"/>
      <c r="R197" s="29"/>
      <c r="S197" s="29">
        <f t="shared" si="20"/>
        <v>0</v>
      </c>
      <c r="T197" s="48"/>
      <c r="U197" s="49"/>
      <c r="V197" s="58" t="e">
        <f t="shared" si="14"/>
        <v>#DIV/0!</v>
      </c>
    </row>
    <row r="198" spans="1:22" s="50" customFormat="1" ht="25.5" customHeight="1" x14ac:dyDescent="0.2">
      <c r="A198" s="117"/>
      <c r="B198" s="114"/>
      <c r="C198" s="47" t="s">
        <v>84</v>
      </c>
      <c r="D198" s="44" t="s">
        <v>88</v>
      </c>
      <c r="E198" s="44" t="s">
        <v>92</v>
      </c>
      <c r="F198" s="44" t="s">
        <v>232</v>
      </c>
      <c r="G198" s="44" t="s">
        <v>190</v>
      </c>
      <c r="H198" s="29">
        <v>37.762</v>
      </c>
      <c r="I198" s="29">
        <v>37.762</v>
      </c>
      <c r="J198" s="29"/>
      <c r="K198" s="29"/>
      <c r="L198" s="29"/>
      <c r="M198" s="29"/>
      <c r="N198" s="29"/>
      <c r="O198" s="29"/>
      <c r="P198" s="29"/>
      <c r="Q198" s="29"/>
      <c r="R198" s="29"/>
      <c r="S198" s="29">
        <f t="shared" si="20"/>
        <v>0</v>
      </c>
      <c r="T198" s="48"/>
      <c r="U198" s="49"/>
      <c r="V198" s="58" t="e">
        <f t="shared" si="14"/>
        <v>#DIV/0!</v>
      </c>
    </row>
    <row r="199" spans="1:22" s="50" customFormat="1" ht="35.25" customHeight="1" x14ac:dyDescent="0.2">
      <c r="A199" s="117"/>
      <c r="B199" s="114"/>
      <c r="C199" s="47" t="s">
        <v>84</v>
      </c>
      <c r="D199" s="44" t="s">
        <v>88</v>
      </c>
      <c r="E199" s="44" t="s">
        <v>92</v>
      </c>
      <c r="F199" s="44" t="s">
        <v>211</v>
      </c>
      <c r="G199" s="44" t="s">
        <v>160</v>
      </c>
      <c r="H199" s="29">
        <v>2.903</v>
      </c>
      <c r="I199" s="29">
        <v>2.895</v>
      </c>
      <c r="J199" s="29">
        <v>0.495</v>
      </c>
      <c r="K199" s="29">
        <v>0.495</v>
      </c>
      <c r="L199" s="29">
        <v>1.5</v>
      </c>
      <c r="M199" s="29">
        <v>1.5</v>
      </c>
      <c r="N199" s="29">
        <v>2.5099999999999998</v>
      </c>
      <c r="O199" s="29">
        <v>2.5099999999999998</v>
      </c>
      <c r="P199" s="29">
        <v>3.024</v>
      </c>
      <c r="Q199" s="29">
        <v>3.0129999999999999</v>
      </c>
      <c r="R199" s="29"/>
      <c r="S199" s="29"/>
      <c r="T199" s="48" t="s">
        <v>255</v>
      </c>
      <c r="U199" s="49">
        <f>ROUND(M199/P199,2)</f>
        <v>0.5</v>
      </c>
      <c r="V199" s="58">
        <f t="shared" si="14"/>
        <v>99.636243386243379</v>
      </c>
    </row>
    <row r="200" spans="1:22" s="50" customFormat="1" ht="35.25" customHeight="1" x14ac:dyDescent="0.2">
      <c r="A200" s="117"/>
      <c r="B200" s="114"/>
      <c r="C200" s="47" t="s">
        <v>84</v>
      </c>
      <c r="D200" s="44" t="s">
        <v>88</v>
      </c>
      <c r="E200" s="44" t="s">
        <v>92</v>
      </c>
      <c r="F200" s="44" t="s">
        <v>251</v>
      </c>
      <c r="G200" s="44" t="s">
        <v>167</v>
      </c>
      <c r="H200" s="29"/>
      <c r="I200" s="29"/>
      <c r="J200" s="29"/>
      <c r="K200" s="29"/>
      <c r="L200" s="29"/>
      <c r="M200" s="29"/>
      <c r="N200" s="29"/>
      <c r="O200" s="29"/>
      <c r="P200" s="29">
        <v>192.624</v>
      </c>
      <c r="Q200" s="29">
        <v>192.624</v>
      </c>
      <c r="R200" s="29"/>
      <c r="S200" s="29"/>
      <c r="T200" s="48" t="s">
        <v>255</v>
      </c>
      <c r="U200" s="49">
        <f t="shared" ref="U200:U210" si="21">ROUND(M200/P200,2)</f>
        <v>0</v>
      </c>
      <c r="V200" s="58">
        <f t="shared" si="14"/>
        <v>100</v>
      </c>
    </row>
    <row r="201" spans="1:22" s="50" customFormat="1" ht="35.25" customHeight="1" x14ac:dyDescent="0.2">
      <c r="A201" s="117"/>
      <c r="B201" s="114"/>
      <c r="C201" s="47" t="s">
        <v>84</v>
      </c>
      <c r="D201" s="44" t="s">
        <v>88</v>
      </c>
      <c r="E201" s="44" t="s">
        <v>92</v>
      </c>
      <c r="F201" s="44" t="s">
        <v>251</v>
      </c>
      <c r="G201" s="44" t="s">
        <v>174</v>
      </c>
      <c r="H201" s="29"/>
      <c r="I201" s="29"/>
      <c r="J201" s="29"/>
      <c r="K201" s="29"/>
      <c r="L201" s="29"/>
      <c r="M201" s="29"/>
      <c r="N201" s="29"/>
      <c r="O201" s="29"/>
      <c r="P201" s="29">
        <v>58.17</v>
      </c>
      <c r="Q201" s="29">
        <v>58.17</v>
      </c>
      <c r="R201" s="29"/>
      <c r="S201" s="29"/>
      <c r="T201" s="48" t="s">
        <v>255</v>
      </c>
      <c r="U201" s="49">
        <f t="shared" si="21"/>
        <v>0</v>
      </c>
      <c r="V201" s="58">
        <f t="shared" si="14"/>
        <v>100</v>
      </c>
    </row>
    <row r="202" spans="1:22" s="50" customFormat="1" ht="35.25" customHeight="1" x14ac:dyDescent="0.2">
      <c r="A202" s="117"/>
      <c r="B202" s="114"/>
      <c r="C202" s="47" t="s">
        <v>84</v>
      </c>
      <c r="D202" s="44" t="s">
        <v>88</v>
      </c>
      <c r="E202" s="44" t="s">
        <v>92</v>
      </c>
      <c r="F202" s="44" t="s">
        <v>251</v>
      </c>
      <c r="G202" s="44" t="s">
        <v>159</v>
      </c>
      <c r="H202" s="29"/>
      <c r="I202" s="29"/>
      <c r="J202" s="29"/>
      <c r="K202" s="29"/>
      <c r="L202" s="29"/>
      <c r="M202" s="29"/>
      <c r="N202" s="29"/>
      <c r="O202" s="29"/>
      <c r="P202" s="29">
        <v>7.6289999999999996</v>
      </c>
      <c r="Q202" s="29">
        <v>7.6289999999999996</v>
      </c>
      <c r="R202" s="29"/>
      <c r="S202" s="29"/>
      <c r="T202" s="48" t="s">
        <v>255</v>
      </c>
      <c r="U202" s="49">
        <f t="shared" si="21"/>
        <v>0</v>
      </c>
      <c r="V202" s="58">
        <f t="shared" si="14"/>
        <v>100</v>
      </c>
    </row>
    <row r="203" spans="1:22" s="50" customFormat="1" ht="35.25" customHeight="1" x14ac:dyDescent="0.2">
      <c r="A203" s="117"/>
      <c r="B203" s="114"/>
      <c r="C203" s="47" t="s">
        <v>84</v>
      </c>
      <c r="D203" s="44" t="s">
        <v>88</v>
      </c>
      <c r="E203" s="44" t="s">
        <v>92</v>
      </c>
      <c r="F203" s="44" t="s">
        <v>252</v>
      </c>
      <c r="G203" s="44" t="s">
        <v>167</v>
      </c>
      <c r="H203" s="29"/>
      <c r="I203" s="29"/>
      <c r="J203" s="29"/>
      <c r="K203" s="29"/>
      <c r="L203" s="29"/>
      <c r="M203" s="29"/>
      <c r="N203" s="29"/>
      <c r="O203" s="29"/>
      <c r="P203" s="29">
        <v>276.11399999999998</v>
      </c>
      <c r="Q203" s="29">
        <v>276.11399999999998</v>
      </c>
      <c r="R203" s="29"/>
      <c r="S203" s="29"/>
      <c r="T203" s="48" t="s">
        <v>255</v>
      </c>
      <c r="U203" s="49">
        <f t="shared" si="21"/>
        <v>0</v>
      </c>
      <c r="V203" s="58">
        <f t="shared" ref="V203:V214" si="22">Q203/P203*100</f>
        <v>100</v>
      </c>
    </row>
    <row r="204" spans="1:22" s="50" customFormat="1" ht="35.25" customHeight="1" x14ac:dyDescent="0.2">
      <c r="A204" s="117"/>
      <c r="B204" s="114"/>
      <c r="C204" s="47" t="s">
        <v>84</v>
      </c>
      <c r="D204" s="44" t="s">
        <v>88</v>
      </c>
      <c r="E204" s="44" t="s">
        <v>92</v>
      </c>
      <c r="F204" s="44" t="s">
        <v>252</v>
      </c>
      <c r="G204" s="44" t="s">
        <v>174</v>
      </c>
      <c r="H204" s="29"/>
      <c r="I204" s="29"/>
      <c r="J204" s="29"/>
      <c r="K204" s="29"/>
      <c r="L204" s="29"/>
      <c r="M204" s="29"/>
      <c r="N204" s="29"/>
      <c r="O204" s="29"/>
      <c r="P204" s="29">
        <v>83.385999999999996</v>
      </c>
      <c r="Q204" s="29">
        <v>83.385999999999996</v>
      </c>
      <c r="R204" s="29"/>
      <c r="S204" s="29"/>
      <c r="T204" s="48" t="s">
        <v>255</v>
      </c>
      <c r="U204" s="49">
        <f t="shared" si="21"/>
        <v>0</v>
      </c>
      <c r="V204" s="58">
        <f t="shared" si="22"/>
        <v>100</v>
      </c>
    </row>
    <row r="205" spans="1:22" s="50" customFormat="1" ht="35.25" customHeight="1" x14ac:dyDescent="0.2">
      <c r="A205" s="117"/>
      <c r="B205" s="114"/>
      <c r="C205" s="47" t="s">
        <v>84</v>
      </c>
      <c r="D205" s="44" t="s">
        <v>88</v>
      </c>
      <c r="E205" s="44" t="s">
        <v>92</v>
      </c>
      <c r="F205" s="44" t="s">
        <v>253</v>
      </c>
      <c r="G205" s="44" t="s">
        <v>167</v>
      </c>
      <c r="H205" s="29"/>
      <c r="I205" s="29"/>
      <c r="J205" s="29"/>
      <c r="K205" s="29"/>
      <c r="L205" s="29"/>
      <c r="M205" s="29"/>
      <c r="N205" s="29"/>
      <c r="O205" s="29"/>
      <c r="P205" s="29">
        <v>82.05</v>
      </c>
      <c r="Q205" s="29">
        <v>82.05</v>
      </c>
      <c r="R205" s="29"/>
      <c r="S205" s="29"/>
      <c r="T205" s="48" t="s">
        <v>255</v>
      </c>
      <c r="U205" s="49">
        <f t="shared" si="21"/>
        <v>0</v>
      </c>
      <c r="V205" s="58">
        <f t="shared" si="22"/>
        <v>100</v>
      </c>
    </row>
    <row r="206" spans="1:22" s="50" customFormat="1" ht="35.25" customHeight="1" x14ac:dyDescent="0.2">
      <c r="A206" s="117"/>
      <c r="B206" s="114"/>
      <c r="C206" s="47" t="s">
        <v>84</v>
      </c>
      <c r="D206" s="44" t="s">
        <v>88</v>
      </c>
      <c r="E206" s="44" t="s">
        <v>92</v>
      </c>
      <c r="F206" s="44" t="s">
        <v>253</v>
      </c>
      <c r="G206" s="44" t="s">
        <v>174</v>
      </c>
      <c r="H206" s="29"/>
      <c r="I206" s="29"/>
      <c r="J206" s="29"/>
      <c r="K206" s="29"/>
      <c r="L206" s="29"/>
      <c r="M206" s="29"/>
      <c r="N206" s="29"/>
      <c r="O206" s="29"/>
      <c r="P206" s="29">
        <v>24.777000000000001</v>
      </c>
      <c r="Q206" s="29">
        <v>24.777000000000001</v>
      </c>
      <c r="R206" s="29"/>
      <c r="S206" s="29"/>
      <c r="T206" s="48" t="s">
        <v>255</v>
      </c>
      <c r="U206" s="49">
        <f t="shared" si="21"/>
        <v>0</v>
      </c>
      <c r="V206" s="58">
        <f t="shared" si="22"/>
        <v>100</v>
      </c>
    </row>
    <row r="207" spans="1:22" s="50" customFormat="1" ht="35.25" customHeight="1" x14ac:dyDescent="0.2">
      <c r="A207" s="117"/>
      <c r="B207" s="114"/>
      <c r="C207" s="47" t="s">
        <v>84</v>
      </c>
      <c r="D207" s="44" t="s">
        <v>88</v>
      </c>
      <c r="E207" s="44" t="s">
        <v>92</v>
      </c>
      <c r="F207" s="44" t="s">
        <v>253</v>
      </c>
      <c r="G207" s="44" t="s">
        <v>164</v>
      </c>
      <c r="H207" s="29"/>
      <c r="I207" s="29"/>
      <c r="J207" s="29"/>
      <c r="K207" s="29"/>
      <c r="L207" s="29"/>
      <c r="M207" s="29"/>
      <c r="N207" s="29"/>
      <c r="O207" s="29"/>
      <c r="P207" s="29">
        <v>0.86499999999999999</v>
      </c>
      <c r="Q207" s="29">
        <v>0.86499999999999999</v>
      </c>
      <c r="R207" s="29"/>
      <c r="S207" s="29"/>
      <c r="T207" s="48" t="s">
        <v>255</v>
      </c>
      <c r="U207" s="49">
        <f t="shared" si="21"/>
        <v>0</v>
      </c>
      <c r="V207" s="58">
        <f t="shared" si="22"/>
        <v>100</v>
      </c>
    </row>
    <row r="208" spans="1:22" s="50" customFormat="1" ht="35.25" customHeight="1" x14ac:dyDescent="0.2">
      <c r="A208" s="117"/>
      <c r="B208" s="114"/>
      <c r="C208" s="47" t="s">
        <v>84</v>
      </c>
      <c r="D208" s="44" t="s">
        <v>88</v>
      </c>
      <c r="E208" s="44" t="s">
        <v>92</v>
      </c>
      <c r="F208" s="44" t="s">
        <v>253</v>
      </c>
      <c r="G208" s="44" t="s">
        <v>190</v>
      </c>
      <c r="H208" s="29"/>
      <c r="I208" s="29"/>
      <c r="J208" s="29"/>
      <c r="K208" s="29"/>
      <c r="L208" s="29"/>
      <c r="M208" s="29"/>
      <c r="N208" s="29"/>
      <c r="O208" s="29"/>
      <c r="P208" s="29">
        <v>0.26</v>
      </c>
      <c r="Q208" s="29">
        <v>0.26</v>
      </c>
      <c r="R208" s="29"/>
      <c r="S208" s="29"/>
      <c r="T208" s="48" t="s">
        <v>255</v>
      </c>
      <c r="U208" s="49">
        <f t="shared" si="21"/>
        <v>0</v>
      </c>
      <c r="V208" s="58">
        <f t="shared" si="22"/>
        <v>100</v>
      </c>
    </row>
    <row r="209" spans="1:22" s="50" customFormat="1" ht="35.25" customHeight="1" x14ac:dyDescent="0.2">
      <c r="A209" s="117"/>
      <c r="B209" s="114"/>
      <c r="C209" s="47" t="s">
        <v>84</v>
      </c>
      <c r="D209" s="44" t="s">
        <v>88</v>
      </c>
      <c r="E209" s="44" t="s">
        <v>92</v>
      </c>
      <c r="F209" s="44" t="s">
        <v>253</v>
      </c>
      <c r="G209" s="44" t="s">
        <v>159</v>
      </c>
      <c r="H209" s="29"/>
      <c r="I209" s="29"/>
      <c r="J209" s="29"/>
      <c r="K209" s="29"/>
      <c r="L209" s="29"/>
      <c r="M209" s="29"/>
      <c r="N209" s="29"/>
      <c r="O209" s="29"/>
      <c r="P209" s="29">
        <v>7.782</v>
      </c>
      <c r="Q209" s="29">
        <v>7.782</v>
      </c>
      <c r="R209" s="29"/>
      <c r="S209" s="29"/>
      <c r="T209" s="48" t="s">
        <v>255</v>
      </c>
      <c r="U209" s="49">
        <f t="shared" si="21"/>
        <v>0</v>
      </c>
      <c r="V209" s="58">
        <f t="shared" si="22"/>
        <v>100</v>
      </c>
    </row>
    <row r="210" spans="1:22" s="50" customFormat="1" ht="35.25" customHeight="1" x14ac:dyDescent="0.2">
      <c r="A210" s="117"/>
      <c r="B210" s="114"/>
      <c r="C210" s="47" t="s">
        <v>84</v>
      </c>
      <c r="D210" s="44" t="s">
        <v>88</v>
      </c>
      <c r="E210" s="44" t="s">
        <v>92</v>
      </c>
      <c r="F210" s="44" t="s">
        <v>254</v>
      </c>
      <c r="G210" s="44" t="s">
        <v>164</v>
      </c>
      <c r="H210" s="29"/>
      <c r="I210" s="29"/>
      <c r="J210" s="29"/>
      <c r="K210" s="29"/>
      <c r="L210" s="29"/>
      <c r="M210" s="29"/>
      <c r="N210" s="29"/>
      <c r="O210" s="29"/>
      <c r="P210" s="29">
        <v>41.582999999999998</v>
      </c>
      <c r="Q210" s="29">
        <v>41.582999999999998</v>
      </c>
      <c r="R210" s="29"/>
      <c r="S210" s="29"/>
      <c r="T210" s="48" t="s">
        <v>255</v>
      </c>
      <c r="U210" s="49">
        <f t="shared" si="21"/>
        <v>0</v>
      </c>
      <c r="V210" s="58">
        <f t="shared" si="22"/>
        <v>100</v>
      </c>
    </row>
    <row r="211" spans="1:22" s="50" customFormat="1" ht="25.5" customHeight="1" x14ac:dyDescent="0.2">
      <c r="A211" s="117"/>
      <c r="B211" s="115"/>
      <c r="C211" s="47" t="s">
        <v>84</v>
      </c>
      <c r="D211" s="44" t="s">
        <v>88</v>
      </c>
      <c r="E211" s="44" t="s">
        <v>92</v>
      </c>
      <c r="F211" s="44" t="s">
        <v>254</v>
      </c>
      <c r="G211" s="44" t="s">
        <v>190</v>
      </c>
      <c r="H211" s="29"/>
      <c r="I211" s="29"/>
      <c r="J211" s="29"/>
      <c r="K211" s="29"/>
      <c r="L211" s="29"/>
      <c r="M211" s="29"/>
      <c r="N211" s="29"/>
      <c r="O211" s="29"/>
      <c r="P211" s="29">
        <v>12.558999999999999</v>
      </c>
      <c r="Q211" s="29">
        <v>12.558999999999999</v>
      </c>
      <c r="R211" s="29"/>
      <c r="S211" s="29"/>
      <c r="T211" s="48" t="s">
        <v>255</v>
      </c>
      <c r="U211" s="49">
        <f>ROUND(M211/P211,2)</f>
        <v>0</v>
      </c>
      <c r="V211" s="58">
        <f t="shared" si="22"/>
        <v>100</v>
      </c>
    </row>
    <row r="212" spans="1:22" s="50" customFormat="1" ht="25.5" customHeight="1" x14ac:dyDescent="0.2">
      <c r="A212" s="117"/>
      <c r="B212" s="83"/>
      <c r="C212" s="47"/>
      <c r="D212" s="44"/>
      <c r="E212" s="44"/>
      <c r="F212" s="44"/>
      <c r="G212" s="44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48"/>
      <c r="U212" s="84"/>
      <c r="V212" s="58" t="e">
        <f t="shared" si="22"/>
        <v>#DIV/0!</v>
      </c>
    </row>
    <row r="213" spans="1:22" s="55" customFormat="1" ht="33" customHeight="1" x14ac:dyDescent="0.2">
      <c r="A213" s="118"/>
      <c r="B213" s="56"/>
      <c r="C213" s="56" t="s">
        <v>152</v>
      </c>
      <c r="D213" s="57"/>
      <c r="E213" s="57"/>
      <c r="F213" s="57"/>
      <c r="G213" s="57"/>
      <c r="H213" s="28">
        <f t="shared" ref="H213:S213" si="23">SUM(H166:H211,0)</f>
        <v>54095.225999999995</v>
      </c>
      <c r="I213" s="28">
        <f t="shared" si="23"/>
        <v>53861.564999999988</v>
      </c>
      <c r="J213" s="28">
        <f t="shared" si="23"/>
        <v>11374.589999999998</v>
      </c>
      <c r="K213" s="28">
        <f t="shared" si="23"/>
        <v>10977.781999999997</v>
      </c>
      <c r="L213" s="28">
        <f t="shared" si="23"/>
        <v>26293.153999999995</v>
      </c>
      <c r="M213" s="28">
        <f t="shared" si="23"/>
        <v>25667.752999999997</v>
      </c>
      <c r="N213" s="28">
        <f t="shared" si="23"/>
        <v>37100.961000000003</v>
      </c>
      <c r="O213" s="28">
        <f t="shared" si="23"/>
        <v>36609.317000000003</v>
      </c>
      <c r="P213" s="28">
        <f t="shared" si="23"/>
        <v>56220.575000000004</v>
      </c>
      <c r="Q213" s="28">
        <f t="shared" si="23"/>
        <v>56011.61700000002</v>
      </c>
      <c r="R213" s="28">
        <f t="shared" si="23"/>
        <v>53255.189000000006</v>
      </c>
      <c r="S213" s="28">
        <f t="shared" si="23"/>
        <v>53255.189000000006</v>
      </c>
      <c r="T213" s="48"/>
      <c r="V213" s="58">
        <f t="shared" si="22"/>
        <v>99.628324683623418</v>
      </c>
    </row>
    <row r="214" spans="1:22" s="50" customFormat="1" ht="15" customHeight="1" x14ac:dyDescent="0.2">
      <c r="A214" s="47" t="s">
        <v>11</v>
      </c>
      <c r="B214" s="47"/>
      <c r="C214" s="47"/>
      <c r="D214" s="44"/>
      <c r="E214" s="44"/>
      <c r="F214" s="44"/>
      <c r="G214" s="44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49"/>
      <c r="V214" s="58" t="e">
        <f t="shared" si="22"/>
        <v>#DIV/0!</v>
      </c>
    </row>
    <row r="215" spans="1:22" ht="15" customHeight="1" x14ac:dyDescent="0.2"/>
    <row r="217" spans="1:22" ht="38.25" customHeight="1" x14ac:dyDescent="0.25">
      <c r="A217" s="90" t="s">
        <v>266</v>
      </c>
      <c r="B217" s="90"/>
      <c r="C217" s="90"/>
      <c r="D217" s="90"/>
      <c r="E217" s="90"/>
      <c r="F217" s="90"/>
      <c r="G217" s="90"/>
      <c r="H217" s="90"/>
      <c r="M217" s="99" t="s">
        <v>267</v>
      </c>
      <c r="N217" s="99"/>
      <c r="O217" s="99"/>
    </row>
    <row r="221" spans="1:22" x14ac:dyDescent="0.2">
      <c r="A221" s="50"/>
      <c r="C221" s="27" t="s">
        <v>243</v>
      </c>
      <c r="D221" s="76"/>
      <c r="K221" s="76"/>
      <c r="L221" s="76"/>
      <c r="M221" s="76"/>
      <c r="N221" s="76"/>
      <c r="O221" s="76"/>
      <c r="P221" s="76"/>
      <c r="Q221" s="76"/>
    </row>
    <row r="222" spans="1:22" x14ac:dyDescent="0.2">
      <c r="A222" s="50" t="s">
        <v>115</v>
      </c>
      <c r="C222" s="27" t="s">
        <v>244</v>
      </c>
      <c r="J222" s="76"/>
      <c r="K222" s="76"/>
      <c r="L222" s="76"/>
      <c r="M222" s="76"/>
      <c r="N222" s="76"/>
      <c r="O222" s="76"/>
      <c r="P222" s="76"/>
      <c r="Q222" s="76"/>
    </row>
  </sheetData>
  <mergeCells count="37">
    <mergeCell ref="M217:O217"/>
    <mergeCell ref="E7:E9"/>
    <mergeCell ref="R1:T1"/>
    <mergeCell ref="R2:T2"/>
    <mergeCell ref="A4:T4"/>
    <mergeCell ref="H6:S6"/>
    <mergeCell ref="D6:G6"/>
    <mergeCell ref="T6:T9"/>
    <mergeCell ref="A164:A213"/>
    <mergeCell ref="B156:B162"/>
    <mergeCell ref="B164:B211"/>
    <mergeCell ref="C101:T101"/>
    <mergeCell ref="C123:T123"/>
    <mergeCell ref="C127:T127"/>
    <mergeCell ref="A14:A150"/>
    <mergeCell ref="B14:B150"/>
    <mergeCell ref="A152:A155"/>
    <mergeCell ref="A156:A163"/>
    <mergeCell ref="B10:B13"/>
    <mergeCell ref="C6:C9"/>
    <mergeCell ref="B6:B9"/>
    <mergeCell ref="R7:S7"/>
    <mergeCell ref="L8:M8"/>
    <mergeCell ref="N8:O8"/>
    <mergeCell ref="J7:Q7"/>
    <mergeCell ref="F7:F9"/>
    <mergeCell ref="D7:D9"/>
    <mergeCell ref="A217:H217"/>
    <mergeCell ref="B152:B155"/>
    <mergeCell ref="A6:A9"/>
    <mergeCell ref="C16:S16"/>
    <mergeCell ref="C46:T46"/>
    <mergeCell ref="P8:Q8"/>
    <mergeCell ref="G7:G9"/>
    <mergeCell ref="J8:K8"/>
    <mergeCell ref="H8:I8"/>
    <mergeCell ref="A10:A13"/>
  </mergeCells>
  <conditionalFormatting sqref="H179:S179 H182:S184 H197:S197 H189:Q190 H188:S188 H170:S170 K19:Q22 H40:S40 H33:S33 I150:S150 M17:M45 L17:L42 L45 N17:O37 H124:S126 P128:P157 N39:O45 P17:S45 L32:P32 J170:P171 H168:S168 H17:K45 H10:S15 L135:P135 H136:S149 H20:S22 H47:S100 H102:S122 H174:S175 J199:P210 P159:P212 H128:O212 Q128:S212">
    <cfRule type="cellIs" dxfId="5" priority="8" stopIfTrue="1" operator="equal">
      <formula>0</formula>
    </cfRule>
  </conditionalFormatting>
  <pageMargins left="0.94488188976377963" right="0.19685039370078741" top="0.94488188976377963" bottom="0.74803149606299213" header="0.31496062992125984" footer="0.31496062992125984"/>
  <pageSetup paperSize="9" scale="45" fitToHeight="7" orientation="landscape" r:id="rId1"/>
  <colBreaks count="1" manualBreakCount="1">
    <brk id="17" max="2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9"/>
  <sheetViews>
    <sheetView view="pageBreakPreview" topLeftCell="A9" zoomScaleNormal="100" zoomScaleSheetLayoutView="100" workbookViewId="0">
      <selection activeCell="A50" sqref="A50:IV50"/>
    </sheetView>
  </sheetViews>
  <sheetFormatPr defaultRowHeight="12.75" x14ac:dyDescent="0.2"/>
  <cols>
    <col min="1" max="1" width="14.85546875" style="27" customWidth="1"/>
    <col min="2" max="2" width="26.28515625" style="27" customWidth="1"/>
    <col min="3" max="3" width="24.140625" style="27" customWidth="1"/>
    <col min="4" max="8" width="11.28515625" style="27" customWidth="1"/>
    <col min="9" max="9" width="11.42578125" style="27" customWidth="1"/>
    <col min="10" max="10" width="11.28515625" style="27" customWidth="1"/>
    <col min="11" max="11" width="11" style="27" customWidth="1"/>
    <col min="12" max="15" width="11.28515625" style="27" customWidth="1"/>
    <col min="16" max="16" width="17.140625" style="27" customWidth="1"/>
    <col min="17" max="17" width="10.5703125" style="27" bestFit="1" customWidth="1"/>
    <col min="18" max="16384" width="9.140625" style="27"/>
  </cols>
  <sheetData>
    <row r="1" spans="1:18" ht="15.75" hidden="1" customHeight="1" x14ac:dyDescent="0.25">
      <c r="N1" s="119" t="s">
        <v>113</v>
      </c>
      <c r="O1" s="119"/>
      <c r="P1" s="119"/>
    </row>
    <row r="2" spans="1:18" ht="43.5" hidden="1" customHeight="1" x14ac:dyDescent="0.25">
      <c r="N2" s="120" t="s">
        <v>75</v>
      </c>
      <c r="O2" s="120"/>
      <c r="P2" s="120"/>
    </row>
    <row r="3" spans="1:18" ht="28.5" customHeight="1" x14ac:dyDescent="0.25">
      <c r="A3" s="90" t="s">
        <v>79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8" ht="15.75" x14ac:dyDescent="0.25">
      <c r="N4" s="51"/>
      <c r="O4" s="51"/>
      <c r="P4" s="60" t="s">
        <v>13</v>
      </c>
    </row>
    <row r="5" spans="1:18" ht="29.25" customHeight="1" x14ac:dyDescent="0.2">
      <c r="A5" s="107" t="s">
        <v>25</v>
      </c>
      <c r="B5" s="107" t="s">
        <v>74</v>
      </c>
      <c r="C5" s="107" t="s">
        <v>48</v>
      </c>
      <c r="D5" s="61"/>
      <c r="E5" s="61"/>
      <c r="F5" s="98" t="s">
        <v>240</v>
      </c>
      <c r="G5" s="98"/>
      <c r="H5" s="98"/>
      <c r="I5" s="98"/>
      <c r="J5" s="98"/>
      <c r="K5" s="98"/>
      <c r="L5" s="98"/>
      <c r="M5" s="98"/>
      <c r="N5" s="98" t="s">
        <v>2</v>
      </c>
      <c r="O5" s="98"/>
      <c r="P5" s="107" t="s">
        <v>47</v>
      </c>
    </row>
    <row r="6" spans="1:18" x14ac:dyDescent="0.2">
      <c r="A6" s="107"/>
      <c r="B6" s="107"/>
      <c r="C6" s="107"/>
      <c r="D6" s="98" t="s">
        <v>245</v>
      </c>
      <c r="E6" s="98"/>
      <c r="F6" s="98" t="s">
        <v>5</v>
      </c>
      <c r="G6" s="98"/>
      <c r="H6" s="98" t="s">
        <v>19</v>
      </c>
      <c r="I6" s="98"/>
      <c r="J6" s="98" t="s">
        <v>20</v>
      </c>
      <c r="K6" s="98"/>
      <c r="L6" s="98" t="s">
        <v>23</v>
      </c>
      <c r="M6" s="98"/>
      <c r="N6" s="98"/>
      <c r="O6" s="98"/>
      <c r="P6" s="107"/>
    </row>
    <row r="7" spans="1:18" x14ac:dyDescent="0.2">
      <c r="A7" s="107"/>
      <c r="B7" s="107"/>
      <c r="C7" s="107"/>
      <c r="D7" s="61" t="s">
        <v>3</v>
      </c>
      <c r="E7" s="61" t="s">
        <v>4</v>
      </c>
      <c r="F7" s="61" t="s">
        <v>3</v>
      </c>
      <c r="G7" s="61" t="s">
        <v>4</v>
      </c>
      <c r="H7" s="61" t="s">
        <v>3</v>
      </c>
      <c r="I7" s="61" t="s">
        <v>4</v>
      </c>
      <c r="J7" s="61" t="s">
        <v>3</v>
      </c>
      <c r="K7" s="61" t="s">
        <v>4</v>
      </c>
      <c r="L7" s="61" t="s">
        <v>3</v>
      </c>
      <c r="M7" s="61" t="s">
        <v>4</v>
      </c>
      <c r="N7" s="61" t="s">
        <v>6</v>
      </c>
      <c r="O7" s="61" t="s">
        <v>7</v>
      </c>
      <c r="P7" s="107"/>
    </row>
    <row r="8" spans="1:18" ht="13.5" customHeight="1" x14ac:dyDescent="0.2">
      <c r="A8" s="123" t="s">
        <v>73</v>
      </c>
      <c r="B8" s="123" t="s">
        <v>213</v>
      </c>
      <c r="C8" s="47" t="s">
        <v>26</v>
      </c>
      <c r="D8" s="46">
        <f>SUM(D10:D15)</f>
        <v>767154.57600000012</v>
      </c>
      <c r="E8" s="46">
        <f>SUM(E10:E15)</f>
        <v>760879.23900000006</v>
      </c>
      <c r="F8" s="46">
        <f t="shared" ref="F8:M8" si="0">SUM(F10:F15)</f>
        <v>176918.587</v>
      </c>
      <c r="G8" s="46">
        <f t="shared" si="0"/>
        <v>176410.508</v>
      </c>
      <c r="H8" s="46">
        <f t="shared" si="0"/>
        <v>432038.10999999987</v>
      </c>
      <c r="I8" s="46">
        <f t="shared" si="0"/>
        <v>431407.84699999995</v>
      </c>
      <c r="J8" s="46">
        <f>SUM(J10:J15)</f>
        <v>548409.15800000005</v>
      </c>
      <c r="K8" s="46">
        <f>SUM(K10:K15)</f>
        <v>547632.23600000003</v>
      </c>
      <c r="L8" s="46">
        <f>SUM(L10:L15)</f>
        <v>781078.43599999999</v>
      </c>
      <c r="M8" s="46">
        <f t="shared" si="0"/>
        <v>780576.90899999999</v>
      </c>
      <c r="N8" s="46">
        <f>SUM(N10:N15)</f>
        <v>710072.59100000001</v>
      </c>
      <c r="O8" s="46">
        <f>SUM(O10:O15)</f>
        <v>710072.59100000001</v>
      </c>
      <c r="P8" s="62">
        <f>M8/L8*100</f>
        <v>99.935790443458103</v>
      </c>
      <c r="R8" s="81">
        <f t="shared" ref="R8:R35" si="1">M8/L8*100</f>
        <v>99.935790443458103</v>
      </c>
    </row>
    <row r="9" spans="1:18" x14ac:dyDescent="0.2">
      <c r="A9" s="123"/>
      <c r="B9" s="123"/>
      <c r="C9" s="47" t="s">
        <v>27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2"/>
      <c r="R9" s="81" t="e">
        <f t="shared" si="1"/>
        <v>#DIV/0!</v>
      </c>
    </row>
    <row r="10" spans="1:18" x14ac:dyDescent="0.2">
      <c r="A10" s="123"/>
      <c r="B10" s="123"/>
      <c r="C10" s="47" t="s">
        <v>14</v>
      </c>
      <c r="D10" s="45">
        <f t="shared" ref="D10:L10" si="2">D18+D26+D34</f>
        <v>750</v>
      </c>
      <c r="E10" s="45">
        <f t="shared" si="2"/>
        <v>750</v>
      </c>
      <c r="F10" s="45">
        <f t="shared" si="2"/>
        <v>0</v>
      </c>
      <c r="G10" s="45">
        <f t="shared" si="2"/>
        <v>0</v>
      </c>
      <c r="H10" s="45">
        <f t="shared" si="2"/>
        <v>0</v>
      </c>
      <c r="I10" s="45">
        <f t="shared" si="2"/>
        <v>0</v>
      </c>
      <c r="J10" s="45">
        <f t="shared" si="2"/>
        <v>0</v>
      </c>
      <c r="K10" s="45">
        <f t="shared" si="2"/>
        <v>0</v>
      </c>
      <c r="L10" s="45">
        <f t="shared" si="2"/>
        <v>0</v>
      </c>
      <c r="M10" s="45">
        <f>M18+M26+M34</f>
        <v>0</v>
      </c>
      <c r="N10" s="45">
        <f t="shared" ref="N10:O15" si="3">N18+N26+N34</f>
        <v>0</v>
      </c>
      <c r="O10" s="45">
        <f t="shared" si="3"/>
        <v>0</v>
      </c>
      <c r="P10" s="64"/>
      <c r="R10" s="81" t="e">
        <f t="shared" si="1"/>
        <v>#DIV/0!</v>
      </c>
    </row>
    <row r="11" spans="1:18" x14ac:dyDescent="0.2">
      <c r="A11" s="123"/>
      <c r="B11" s="123"/>
      <c r="C11" s="47" t="s">
        <v>28</v>
      </c>
      <c r="D11" s="45">
        <f t="shared" ref="D11:L11" si="4">D19+D27+D35</f>
        <v>467758.25600000005</v>
      </c>
      <c r="E11" s="45">
        <f t="shared" si="4"/>
        <v>465917.78100000008</v>
      </c>
      <c r="F11" s="45">
        <f>F19+F27+F35</f>
        <v>90802.020999999993</v>
      </c>
      <c r="G11" s="45">
        <f t="shared" si="4"/>
        <v>90311.944000000003</v>
      </c>
      <c r="H11" s="45">
        <f t="shared" si="4"/>
        <v>270370.59299999994</v>
      </c>
      <c r="I11" s="45">
        <f t="shared" si="4"/>
        <v>269843.32699999993</v>
      </c>
      <c r="J11" s="45">
        <f t="shared" si="4"/>
        <v>335039.42900000006</v>
      </c>
      <c r="K11" s="45">
        <f t="shared" si="4"/>
        <v>334616.70700000005</v>
      </c>
      <c r="L11" s="45">
        <f t="shared" si="4"/>
        <v>478863.63099999999</v>
      </c>
      <c r="M11" s="45">
        <f>M19+M27+M35</f>
        <v>478729.74900000001</v>
      </c>
      <c r="N11" s="45">
        <f t="shared" si="3"/>
        <v>413722.10000000003</v>
      </c>
      <c r="O11" s="45">
        <f t="shared" si="3"/>
        <v>413722.10000000003</v>
      </c>
      <c r="P11" s="65"/>
      <c r="R11" s="81">
        <f t="shared" si="1"/>
        <v>99.972041727261598</v>
      </c>
    </row>
    <row r="12" spans="1:18" x14ac:dyDescent="0.2">
      <c r="A12" s="123"/>
      <c r="B12" s="123"/>
      <c r="C12" s="47" t="s">
        <v>76</v>
      </c>
      <c r="D12" s="45">
        <f t="shared" ref="D12:E15" si="5">D20+D28+D36</f>
        <v>298646.32</v>
      </c>
      <c r="E12" s="45">
        <f>E20+E28+E36</f>
        <v>294211.45799999998</v>
      </c>
      <c r="F12" s="45">
        <f>F20+F28+F36</f>
        <v>86116.565999999992</v>
      </c>
      <c r="G12" s="45">
        <f t="shared" ref="G12:L12" si="6">G20+G28+G36</f>
        <v>86098.563999999998</v>
      </c>
      <c r="H12" s="45">
        <f t="shared" si="6"/>
        <v>161667.51699999996</v>
      </c>
      <c r="I12" s="45">
        <f t="shared" si="6"/>
        <v>161564.51999999999</v>
      </c>
      <c r="J12" s="45">
        <f t="shared" si="6"/>
        <v>213369.72899999999</v>
      </c>
      <c r="K12" s="45">
        <f t="shared" si="6"/>
        <v>213015.52899999998</v>
      </c>
      <c r="L12" s="45">
        <f t="shared" si="6"/>
        <v>302214.80499999999</v>
      </c>
      <c r="M12" s="45">
        <f>M20+M28+M36</f>
        <v>301847.15999999997</v>
      </c>
      <c r="N12" s="45">
        <f t="shared" si="3"/>
        <v>296350.49099999998</v>
      </c>
      <c r="O12" s="45">
        <f t="shared" si="3"/>
        <v>296350.49099999998</v>
      </c>
      <c r="P12" s="65"/>
      <c r="R12" s="81">
        <f t="shared" si="1"/>
        <v>99.878349771779042</v>
      </c>
    </row>
    <row r="13" spans="1:18" x14ac:dyDescent="0.2">
      <c r="A13" s="123"/>
      <c r="B13" s="123"/>
      <c r="C13" s="47" t="s">
        <v>77</v>
      </c>
      <c r="D13" s="45">
        <f t="shared" si="5"/>
        <v>0</v>
      </c>
      <c r="E13" s="45">
        <f t="shared" si="5"/>
        <v>0</v>
      </c>
      <c r="F13" s="45">
        <f t="shared" ref="F13:M13" si="7">F21+F29+F37</f>
        <v>0</v>
      </c>
      <c r="G13" s="45">
        <f t="shared" si="7"/>
        <v>0</v>
      </c>
      <c r="H13" s="45">
        <f t="shared" si="7"/>
        <v>0</v>
      </c>
      <c r="I13" s="45">
        <f t="shared" si="7"/>
        <v>0</v>
      </c>
      <c r="J13" s="45">
        <f t="shared" si="7"/>
        <v>0</v>
      </c>
      <c r="K13" s="45">
        <f t="shared" si="7"/>
        <v>0</v>
      </c>
      <c r="L13" s="45">
        <f t="shared" si="7"/>
        <v>0</v>
      </c>
      <c r="M13" s="45">
        <f t="shared" si="7"/>
        <v>0</v>
      </c>
      <c r="N13" s="45">
        <f t="shared" si="3"/>
        <v>0</v>
      </c>
      <c r="O13" s="45">
        <f t="shared" si="3"/>
        <v>0</v>
      </c>
      <c r="P13" s="65"/>
      <c r="R13" s="81" t="e">
        <f t="shared" si="1"/>
        <v>#DIV/0!</v>
      </c>
    </row>
    <row r="14" spans="1:18" x14ac:dyDescent="0.2">
      <c r="A14" s="123"/>
      <c r="B14" s="123"/>
      <c r="C14" s="47" t="s">
        <v>49</v>
      </c>
      <c r="D14" s="45">
        <f t="shared" si="5"/>
        <v>0</v>
      </c>
      <c r="E14" s="45">
        <f t="shared" si="5"/>
        <v>0</v>
      </c>
      <c r="F14" s="45">
        <f t="shared" ref="F14:M14" si="8">F22+F30+F38</f>
        <v>0</v>
      </c>
      <c r="G14" s="45">
        <f t="shared" si="8"/>
        <v>0</v>
      </c>
      <c r="H14" s="45">
        <f t="shared" si="8"/>
        <v>0</v>
      </c>
      <c r="I14" s="45">
        <f t="shared" si="8"/>
        <v>0</v>
      </c>
      <c r="J14" s="45">
        <f t="shared" si="8"/>
        <v>0</v>
      </c>
      <c r="K14" s="45">
        <f t="shared" si="8"/>
        <v>0</v>
      </c>
      <c r="L14" s="45">
        <f t="shared" si="8"/>
        <v>0</v>
      </c>
      <c r="M14" s="45">
        <f t="shared" si="8"/>
        <v>0</v>
      </c>
      <c r="N14" s="45">
        <f t="shared" si="3"/>
        <v>0</v>
      </c>
      <c r="O14" s="45">
        <f t="shared" si="3"/>
        <v>0</v>
      </c>
      <c r="P14" s="65"/>
      <c r="R14" s="81" t="e">
        <f t="shared" si="1"/>
        <v>#DIV/0!</v>
      </c>
    </row>
    <row r="15" spans="1:18" x14ac:dyDescent="0.2">
      <c r="A15" s="123"/>
      <c r="B15" s="123"/>
      <c r="C15" s="47" t="s">
        <v>29</v>
      </c>
      <c r="D15" s="45">
        <f t="shared" si="5"/>
        <v>0</v>
      </c>
      <c r="E15" s="45">
        <f t="shared" si="5"/>
        <v>0</v>
      </c>
      <c r="F15" s="45">
        <f t="shared" ref="F15:M15" si="9">F23+F31+F39</f>
        <v>0</v>
      </c>
      <c r="G15" s="45">
        <f t="shared" si="9"/>
        <v>0</v>
      </c>
      <c r="H15" s="45">
        <f t="shared" si="9"/>
        <v>0</v>
      </c>
      <c r="I15" s="45">
        <f t="shared" si="9"/>
        <v>0</v>
      </c>
      <c r="J15" s="45">
        <f t="shared" si="9"/>
        <v>0</v>
      </c>
      <c r="K15" s="45">
        <f t="shared" si="9"/>
        <v>0</v>
      </c>
      <c r="L15" s="45">
        <f t="shared" si="9"/>
        <v>0</v>
      </c>
      <c r="M15" s="45">
        <f t="shared" si="9"/>
        <v>0</v>
      </c>
      <c r="N15" s="45">
        <f t="shared" si="3"/>
        <v>0</v>
      </c>
      <c r="O15" s="45">
        <f t="shared" si="3"/>
        <v>0</v>
      </c>
      <c r="P15" s="65"/>
      <c r="R15" s="81" t="e">
        <f t="shared" si="1"/>
        <v>#DIV/0!</v>
      </c>
    </row>
    <row r="16" spans="1:18" ht="12" customHeight="1" x14ac:dyDescent="0.2">
      <c r="A16" s="116" t="s">
        <v>96</v>
      </c>
      <c r="B16" s="113" t="s">
        <v>86</v>
      </c>
      <c r="C16" s="47" t="s">
        <v>26</v>
      </c>
      <c r="D16" s="46">
        <f>SUM(D18:D23)</f>
        <v>0</v>
      </c>
      <c r="E16" s="46">
        <f>SUM(E18:E23)</f>
        <v>0</v>
      </c>
      <c r="F16" s="46">
        <f t="shared" ref="F16:M16" si="10">SUM(F18:F23)</f>
        <v>0</v>
      </c>
      <c r="G16" s="46">
        <f t="shared" si="10"/>
        <v>0</v>
      </c>
      <c r="H16" s="46">
        <f t="shared" si="10"/>
        <v>0</v>
      </c>
      <c r="I16" s="46">
        <f t="shared" si="10"/>
        <v>0</v>
      </c>
      <c r="J16" s="46">
        <f t="shared" si="10"/>
        <v>0</v>
      </c>
      <c r="K16" s="46">
        <f t="shared" si="10"/>
        <v>0</v>
      </c>
      <c r="L16" s="46">
        <f t="shared" si="10"/>
        <v>0</v>
      </c>
      <c r="M16" s="46">
        <f t="shared" si="10"/>
        <v>0</v>
      </c>
      <c r="N16" s="46">
        <f>SUM(N18:N23)</f>
        <v>0</v>
      </c>
      <c r="O16" s="46">
        <f>SUM(O18:O23)</f>
        <v>0</v>
      </c>
      <c r="P16" s="65"/>
      <c r="R16" s="81" t="e">
        <f t="shared" si="1"/>
        <v>#DIV/0!</v>
      </c>
    </row>
    <row r="17" spans="1:18" x14ac:dyDescent="0.2">
      <c r="A17" s="117"/>
      <c r="B17" s="114"/>
      <c r="C17" s="47" t="s">
        <v>27</v>
      </c>
      <c r="D17" s="66"/>
      <c r="E17" s="66"/>
      <c r="F17" s="45"/>
      <c r="G17" s="45"/>
      <c r="H17" s="45"/>
      <c r="I17" s="45"/>
      <c r="J17" s="45"/>
      <c r="K17" s="45"/>
      <c r="L17" s="66"/>
      <c r="M17" s="66"/>
      <c r="N17" s="66"/>
      <c r="O17" s="66"/>
      <c r="P17" s="65"/>
      <c r="R17" s="81" t="e">
        <f t="shared" si="1"/>
        <v>#DIV/0!</v>
      </c>
    </row>
    <row r="18" spans="1:18" x14ac:dyDescent="0.2">
      <c r="A18" s="117"/>
      <c r="B18" s="114"/>
      <c r="C18" s="47" t="s">
        <v>14</v>
      </c>
      <c r="D18" s="66">
        <v>0</v>
      </c>
      <c r="E18" s="66"/>
      <c r="F18" s="45"/>
      <c r="G18" s="45"/>
      <c r="H18" s="45">
        <v>0</v>
      </c>
      <c r="I18" s="45"/>
      <c r="J18" s="45"/>
      <c r="K18" s="45"/>
      <c r="L18" s="66">
        <v>0</v>
      </c>
      <c r="M18" s="66"/>
      <c r="N18" s="66">
        <v>0</v>
      </c>
      <c r="O18" s="66">
        <v>0</v>
      </c>
      <c r="P18" s="65"/>
      <c r="R18" s="81" t="e">
        <f t="shared" si="1"/>
        <v>#DIV/0!</v>
      </c>
    </row>
    <row r="19" spans="1:18" x14ac:dyDescent="0.2">
      <c r="A19" s="117"/>
      <c r="B19" s="114"/>
      <c r="C19" s="47" t="s">
        <v>28</v>
      </c>
      <c r="D19" s="66"/>
      <c r="E19" s="66"/>
      <c r="F19" s="45"/>
      <c r="G19" s="45"/>
      <c r="H19" s="45"/>
      <c r="I19" s="45"/>
      <c r="J19" s="45"/>
      <c r="K19" s="45"/>
      <c r="L19" s="66"/>
      <c r="M19" s="66"/>
      <c r="N19" s="66"/>
      <c r="O19" s="66"/>
      <c r="P19" s="65"/>
      <c r="R19" s="81" t="e">
        <f t="shared" si="1"/>
        <v>#DIV/0!</v>
      </c>
    </row>
    <row r="20" spans="1:18" x14ac:dyDescent="0.2">
      <c r="A20" s="117"/>
      <c r="B20" s="114"/>
      <c r="C20" s="47" t="s">
        <v>76</v>
      </c>
      <c r="D20" s="66"/>
      <c r="E20" s="66"/>
      <c r="F20" s="45"/>
      <c r="G20" s="45"/>
      <c r="H20" s="45"/>
      <c r="I20" s="45"/>
      <c r="J20" s="45"/>
      <c r="K20" s="45"/>
      <c r="L20" s="66"/>
      <c r="M20" s="66"/>
      <c r="N20" s="66"/>
      <c r="O20" s="66"/>
      <c r="P20" s="65"/>
      <c r="R20" s="81" t="e">
        <f t="shared" si="1"/>
        <v>#DIV/0!</v>
      </c>
    </row>
    <row r="21" spans="1:18" x14ac:dyDescent="0.2">
      <c r="A21" s="117"/>
      <c r="B21" s="114"/>
      <c r="C21" s="47" t="s">
        <v>77</v>
      </c>
      <c r="D21" s="66"/>
      <c r="E21" s="66"/>
      <c r="F21" s="45"/>
      <c r="G21" s="45"/>
      <c r="H21" s="45"/>
      <c r="I21" s="45"/>
      <c r="J21" s="45"/>
      <c r="K21" s="45"/>
      <c r="L21" s="66"/>
      <c r="M21" s="66"/>
      <c r="N21" s="66"/>
      <c r="O21" s="66"/>
      <c r="P21" s="65"/>
      <c r="R21" s="81" t="e">
        <f t="shared" si="1"/>
        <v>#DIV/0!</v>
      </c>
    </row>
    <row r="22" spans="1:18" x14ac:dyDescent="0.2">
      <c r="A22" s="117"/>
      <c r="B22" s="114"/>
      <c r="C22" s="47" t="s">
        <v>49</v>
      </c>
      <c r="D22" s="66"/>
      <c r="E22" s="66"/>
      <c r="F22" s="45"/>
      <c r="G22" s="45"/>
      <c r="H22" s="45"/>
      <c r="I22" s="45"/>
      <c r="J22" s="45"/>
      <c r="K22" s="45"/>
      <c r="L22" s="66"/>
      <c r="M22" s="66"/>
      <c r="N22" s="66"/>
      <c r="O22" s="66"/>
      <c r="P22" s="65"/>
      <c r="R22" s="81" t="e">
        <f t="shared" si="1"/>
        <v>#DIV/0!</v>
      </c>
    </row>
    <row r="23" spans="1:18" x14ac:dyDescent="0.2">
      <c r="A23" s="118"/>
      <c r="B23" s="115"/>
      <c r="C23" s="47" t="s">
        <v>29</v>
      </c>
      <c r="D23" s="66"/>
      <c r="E23" s="66"/>
      <c r="F23" s="45"/>
      <c r="G23" s="45"/>
      <c r="H23" s="45"/>
      <c r="I23" s="45"/>
      <c r="J23" s="45"/>
      <c r="K23" s="45"/>
      <c r="L23" s="66"/>
      <c r="M23" s="66"/>
      <c r="N23" s="66"/>
      <c r="O23" s="66"/>
      <c r="P23" s="65"/>
      <c r="R23" s="81" t="e">
        <f t="shared" si="1"/>
        <v>#DIV/0!</v>
      </c>
    </row>
    <row r="24" spans="1:18" ht="14.25" customHeight="1" x14ac:dyDescent="0.2">
      <c r="A24" s="116" t="s">
        <v>97</v>
      </c>
      <c r="B24" s="113" t="s">
        <v>87</v>
      </c>
      <c r="C24" s="47" t="s">
        <v>26</v>
      </c>
      <c r="D24" s="46">
        <f>SUM(D26:D31)</f>
        <v>54095.225999999995</v>
      </c>
      <c r="E24" s="46">
        <f>SUM(E26:E31)</f>
        <v>53861.564999999988</v>
      </c>
      <c r="F24" s="46">
        <f t="shared" ref="F24:M24" si="11">SUM(F26:F31)</f>
        <v>11374.59</v>
      </c>
      <c r="G24" s="46">
        <f t="shared" si="11"/>
        <v>10977.781999999999</v>
      </c>
      <c r="H24" s="46">
        <f t="shared" si="11"/>
        <v>26293.153999999999</v>
      </c>
      <c r="I24" s="46">
        <f t="shared" si="11"/>
        <v>25667.753000000001</v>
      </c>
      <c r="J24" s="46">
        <f t="shared" si="11"/>
        <v>37100.961000000003</v>
      </c>
      <c r="K24" s="46">
        <f t="shared" si="11"/>
        <v>36609.317000000003</v>
      </c>
      <c r="L24" s="46">
        <f t="shared" si="11"/>
        <v>56220.574999999997</v>
      </c>
      <c r="M24" s="46">
        <f t="shared" si="11"/>
        <v>56011.616999999998</v>
      </c>
      <c r="N24" s="46">
        <f>SUM(N26:N31)</f>
        <v>53258.213000000003</v>
      </c>
      <c r="O24" s="46">
        <f>SUM(O26:O31)</f>
        <v>53258.213000000003</v>
      </c>
      <c r="P24" s="67"/>
      <c r="R24" s="81">
        <f t="shared" si="1"/>
        <v>99.62832468362339</v>
      </c>
    </row>
    <row r="25" spans="1:18" x14ac:dyDescent="0.2">
      <c r="A25" s="117"/>
      <c r="B25" s="114"/>
      <c r="C25" s="47" t="s">
        <v>27</v>
      </c>
      <c r="D25" s="66"/>
      <c r="E25" s="66"/>
      <c r="F25" s="45"/>
      <c r="G25" s="45"/>
      <c r="H25" s="45"/>
      <c r="I25" s="45"/>
      <c r="J25" s="45"/>
      <c r="K25" s="45"/>
      <c r="L25" s="66"/>
      <c r="M25" s="66"/>
      <c r="N25" s="66"/>
      <c r="O25" s="66"/>
      <c r="P25" s="65"/>
      <c r="R25" s="81" t="e">
        <f t="shared" si="1"/>
        <v>#DIV/0!</v>
      </c>
    </row>
    <row r="26" spans="1:18" x14ac:dyDescent="0.2">
      <c r="A26" s="117"/>
      <c r="B26" s="114"/>
      <c r="C26" s="47" t="s">
        <v>14</v>
      </c>
      <c r="D26" s="66"/>
      <c r="E26" s="66"/>
      <c r="F26" s="45"/>
      <c r="G26" s="45"/>
      <c r="H26" s="45"/>
      <c r="I26" s="45"/>
      <c r="J26" s="45"/>
      <c r="K26" s="45"/>
      <c r="L26" s="66"/>
      <c r="M26" s="66"/>
      <c r="N26" s="66"/>
      <c r="O26" s="66"/>
      <c r="P26" s="65"/>
      <c r="R26" s="81" t="e">
        <f t="shared" si="1"/>
        <v>#DIV/0!</v>
      </c>
    </row>
    <row r="27" spans="1:18" x14ac:dyDescent="0.2">
      <c r="A27" s="117"/>
      <c r="B27" s="114"/>
      <c r="C27" s="47" t="s">
        <v>28</v>
      </c>
      <c r="D27" s="45">
        <f>544.104+163.717+12.308+216.744+65.456+138.189+826.981+249.748+10.621+3.208+125.038+37.762</f>
        <v>2393.8760000000002</v>
      </c>
      <c r="E27" s="66">
        <f>544.104+163.717+12.308+216.744+65.456+138.189+826.981+249.748+10.621+3.208+125.038+37.762</f>
        <v>2393.8760000000002</v>
      </c>
      <c r="F27" s="45">
        <f>798.609+241.182+69.807</f>
        <v>1109.598</v>
      </c>
      <c r="G27" s="45">
        <f>500.197+160.789+69.807</f>
        <v>730.79300000000001</v>
      </c>
      <c r="H27" s="45">
        <f>1597.218+482.362+139.617</f>
        <v>2219.1970000000001</v>
      </c>
      <c r="I27" s="45">
        <f>1195.986+361.189+139.617</f>
        <v>1696.7920000000001</v>
      </c>
      <c r="J27" s="45">
        <f>1597.218+482.362+213.316</f>
        <v>2292.8959999999997</v>
      </c>
      <c r="K27" s="45">
        <f>1488.121+449.414+213.316</f>
        <v>2150.8510000000001</v>
      </c>
      <c r="L27" s="45">
        <f>1597.218+482.362+213.316+787.799</f>
        <v>3080.6949999999997</v>
      </c>
      <c r="M27" s="66">
        <f>1597.218+482.362+213.316+787.799</f>
        <v>3080.6949999999997</v>
      </c>
      <c r="N27" s="66"/>
      <c r="O27" s="66"/>
      <c r="P27" s="65"/>
      <c r="R27" s="81">
        <f t="shared" si="1"/>
        <v>100</v>
      </c>
    </row>
    <row r="28" spans="1:18" x14ac:dyDescent="0.2">
      <c r="A28" s="117"/>
      <c r="B28" s="114"/>
      <c r="C28" s="47" t="s">
        <v>76</v>
      </c>
      <c r="D28" s="45">
        <f>20583.682+137.19+6225.863+14484.579+18.168+17.422+2.552+5.273+3126.1+158.204+944.082+1450.4+31.036+0.764+255.544+114.049+4143.539+2.903</f>
        <v>51701.35</v>
      </c>
      <c r="E28" s="45">
        <f>20583.135+125.26+6204.373+14411.191+18.168+11.906+2.206+4.361+3125.867+157.536+935.908+1416.35+31.036+0.3+244.813+109.555+4082.829+2.895</f>
        <v>51467.688999999991</v>
      </c>
      <c r="F28" s="45">
        <f>11374.59-F27</f>
        <v>10264.992</v>
      </c>
      <c r="G28" s="45">
        <f>10977.782-G27</f>
        <v>10246.989</v>
      </c>
      <c r="H28" s="45">
        <f>26293.154-H27</f>
        <v>24073.956999999999</v>
      </c>
      <c r="I28" s="45">
        <f>25667.753-I27</f>
        <v>23970.960999999999</v>
      </c>
      <c r="J28" s="45">
        <f>37100.961-J27</f>
        <v>34808.065000000002</v>
      </c>
      <c r="K28" s="45">
        <f>36609.317-K27</f>
        <v>34458.466</v>
      </c>
      <c r="L28" s="45">
        <f>56220.575-L27</f>
        <v>53139.88</v>
      </c>
      <c r="M28" s="45">
        <f>56011.617-M27</f>
        <v>52930.921999999999</v>
      </c>
      <c r="N28" s="45">
        <v>53258.213000000003</v>
      </c>
      <c r="O28" s="45">
        <v>53258.213000000003</v>
      </c>
      <c r="P28" s="65"/>
      <c r="R28" s="81">
        <f t="shared" si="1"/>
        <v>99.606777433445473</v>
      </c>
    </row>
    <row r="29" spans="1:18" x14ac:dyDescent="0.2">
      <c r="A29" s="117"/>
      <c r="B29" s="114"/>
      <c r="C29" s="47" t="s">
        <v>77</v>
      </c>
      <c r="D29" s="66"/>
      <c r="E29" s="66"/>
      <c r="F29" s="45"/>
      <c r="G29" s="45"/>
      <c r="H29" s="45"/>
      <c r="I29" s="45"/>
      <c r="J29" s="45"/>
      <c r="K29" s="45"/>
      <c r="L29" s="66"/>
      <c r="M29" s="66"/>
      <c r="N29" s="66"/>
      <c r="O29" s="66"/>
      <c r="P29" s="65"/>
      <c r="R29" s="81" t="e">
        <f t="shared" si="1"/>
        <v>#DIV/0!</v>
      </c>
    </row>
    <row r="30" spans="1:18" x14ac:dyDescent="0.2">
      <c r="A30" s="117"/>
      <c r="B30" s="114"/>
      <c r="C30" s="47" t="s">
        <v>49</v>
      </c>
      <c r="D30" s="66"/>
      <c r="E30" s="66"/>
      <c r="F30" s="45"/>
      <c r="G30" s="45"/>
      <c r="H30" s="45"/>
      <c r="I30" s="45"/>
      <c r="J30" s="45"/>
      <c r="K30" s="45"/>
      <c r="L30" s="66"/>
      <c r="M30" s="66"/>
      <c r="N30" s="66"/>
      <c r="O30" s="66"/>
      <c r="P30" s="65"/>
      <c r="R30" s="81" t="e">
        <f t="shared" si="1"/>
        <v>#DIV/0!</v>
      </c>
    </row>
    <row r="31" spans="1:18" x14ac:dyDescent="0.2">
      <c r="A31" s="118"/>
      <c r="B31" s="115"/>
      <c r="C31" s="47" t="s">
        <v>29</v>
      </c>
      <c r="D31" s="66"/>
      <c r="E31" s="66"/>
      <c r="F31" s="45"/>
      <c r="G31" s="45"/>
      <c r="H31" s="45"/>
      <c r="I31" s="45"/>
      <c r="J31" s="45"/>
      <c r="K31" s="45"/>
      <c r="L31" s="66"/>
      <c r="M31" s="66"/>
      <c r="N31" s="66"/>
      <c r="O31" s="66"/>
      <c r="P31" s="65"/>
      <c r="R31" s="81" t="e">
        <f t="shared" si="1"/>
        <v>#DIV/0!</v>
      </c>
    </row>
    <row r="32" spans="1:18" ht="13.5" customHeight="1" x14ac:dyDescent="0.2">
      <c r="A32" s="106" t="s">
        <v>41</v>
      </c>
      <c r="B32" s="113" t="s">
        <v>85</v>
      </c>
      <c r="C32" s="47" t="s">
        <v>26</v>
      </c>
      <c r="D32" s="46">
        <f>SUM(D34:D39)</f>
        <v>713059.35000000009</v>
      </c>
      <c r="E32" s="46">
        <f>SUM(E34:E39)</f>
        <v>707017.67400000012</v>
      </c>
      <c r="F32" s="46">
        <f t="shared" ref="F32:O32" si="12">SUM(F34:F39)</f>
        <v>165543.99699999997</v>
      </c>
      <c r="G32" s="46">
        <f t="shared" si="12"/>
        <v>165432.726</v>
      </c>
      <c r="H32" s="46">
        <f t="shared" si="12"/>
        <v>405744.95599999989</v>
      </c>
      <c r="I32" s="46">
        <f>SUM(I34:I39)</f>
        <v>405740.09399999992</v>
      </c>
      <c r="J32" s="46">
        <f>SUM(J34:J39)</f>
        <v>511308.19700000004</v>
      </c>
      <c r="K32" s="46">
        <f t="shared" si="12"/>
        <v>511022.91899999999</v>
      </c>
      <c r="L32" s="46">
        <f>SUM(L34:L39)</f>
        <v>724857.86100000003</v>
      </c>
      <c r="M32" s="46">
        <f t="shared" si="12"/>
        <v>724565.2919999999</v>
      </c>
      <c r="N32" s="46">
        <f t="shared" si="12"/>
        <v>656814.37800000003</v>
      </c>
      <c r="O32" s="46">
        <f t="shared" si="12"/>
        <v>656814.37800000003</v>
      </c>
      <c r="P32" s="65"/>
      <c r="Q32" s="68"/>
      <c r="R32" s="81">
        <f t="shared" si="1"/>
        <v>99.95963774199862</v>
      </c>
    </row>
    <row r="33" spans="1:18" x14ac:dyDescent="0.2">
      <c r="A33" s="106"/>
      <c r="B33" s="114"/>
      <c r="C33" s="47" t="s">
        <v>27</v>
      </c>
      <c r="D33" s="66"/>
      <c r="E33" s="66"/>
      <c r="F33" s="45"/>
      <c r="G33" s="45"/>
      <c r="H33" s="45"/>
      <c r="I33" s="45"/>
      <c r="J33" s="45"/>
      <c r="K33" s="45"/>
      <c r="L33" s="66"/>
      <c r="M33" s="66"/>
      <c r="N33" s="66"/>
      <c r="O33" s="66"/>
      <c r="P33" s="65"/>
      <c r="R33" s="81" t="e">
        <f t="shared" si="1"/>
        <v>#DIV/0!</v>
      </c>
    </row>
    <row r="34" spans="1:18" x14ac:dyDescent="0.2">
      <c r="A34" s="106"/>
      <c r="B34" s="114"/>
      <c r="C34" s="47" t="s">
        <v>43</v>
      </c>
      <c r="D34" s="82">
        <v>750</v>
      </c>
      <c r="E34" s="29">
        <v>750</v>
      </c>
      <c r="F34" s="45"/>
      <c r="G34" s="45"/>
      <c r="H34" s="45"/>
      <c r="I34" s="45"/>
      <c r="J34" s="82"/>
      <c r="K34" s="82"/>
      <c r="L34" s="82"/>
      <c r="M34" s="29"/>
      <c r="N34" s="29"/>
      <c r="O34" s="29"/>
      <c r="P34" s="65"/>
      <c r="R34" s="81" t="e">
        <f t="shared" si="1"/>
        <v>#DIV/0!</v>
      </c>
    </row>
    <row r="35" spans="1:18" ht="15.75" customHeight="1" x14ac:dyDescent="0.2">
      <c r="A35" s="106"/>
      <c r="B35" s="114"/>
      <c r="C35" s="47" t="s">
        <v>28</v>
      </c>
      <c r="D35" s="29">
        <f>4960.613+78214.29+852.868+44345.1+609.4+259.85+2868.749+62.9+701.944+9623.873+676.261+41290.231+4933.169+197558.961+7996.433+19173.223+644.283+11043.39+1647.41+2628.3+1186.786+88.973+7121.4+4796.498+95.842+1545.596+1075.325+1583.885+107.447+333.2+16363.68+974.5</f>
        <v>465364.38000000006</v>
      </c>
      <c r="E35" s="29">
        <f>4960.613+77857.779+848.868+43867.023+567.25+259.85+2583.3+56.587+701.944+9623.873+676.261+41290.231+4933.169+197558.961+7996.433+19173.223+644.283+11043.39+1647.41+2628.3+1186.786+88.973+6538.642+4796.497+95.842+1545.596+1075.325+1583.885+107.447+329.802+16281.862+974.5</f>
        <v>463523.90500000009</v>
      </c>
      <c r="F35" s="45">
        <f>3097.329+15321.221+8050.805+96.082+562.228+5.582+5575.485+428.802+8327.908+969.28+35502.958+70+3035.929+2913.16+392.356+3334+425+1076.991+497.307+10</f>
        <v>89692.422999999995</v>
      </c>
      <c r="G35" s="45">
        <f>3097.329+15321.221+8050.805+96.082+450.956+5.582+5575.485+428.802+8327.908+969.28+35502.958+70+3035.929+2913.16+392.356+3334+425+1076.991+497.307+10</f>
        <v>89581.150999999998</v>
      </c>
      <c r="H35" s="45">
        <f>6194.681+42473.049+778.1+23484.736+285.92+1125.163+17.647+11150.982+857.602+24726.334+2820.073+117673.477+1471+9904.213+200+10996.448+1781.68+6105.993+851.768+22.811+1933.051+106.224+2153.988+994.616+20.84+21</f>
        <v>268151.39599999995</v>
      </c>
      <c r="I35" s="45">
        <f>6194.681+42473.049+778.1+23484.736+285.92+1120.309+17.647+11150.982+857.602+24726.334+2820.073+117673.477+1471+9904.213+200+10996.448+1781.68+6105.993+851.768+22.811+1933.045+106.223+2153.988+994.616+20.84+21</f>
        <v>268146.53499999992</v>
      </c>
      <c r="J35" s="45">
        <f>9464.608+55940.805+813.1+30820.511+386.84+1535.036+27.774+17372.688+1310.296+31141.435+3617.616+126420.598+7706.302+11280.991+628.004+12137.986+1844.541+6645.993+911.768+2303.911+4823.176+106.224+3290.992+1491.923+69.415+367.5+286.5</f>
        <v>332746.53300000005</v>
      </c>
      <c r="K35" s="45">
        <f>9464.608+55940.805+813.1+30820.511+386.84+1526.218+27.774+17372.688+1310.296+31141.435+3617.616+126420.598+7706.302+11280.991+628.004+12137.986+1844.541+6645.993+911.768+2303.911+4823.16+106.223+3290.992+1326.154+69.415+261.427+286.5</f>
        <v>332465.85600000003</v>
      </c>
      <c r="L35" s="29">
        <f>13834.028+338.496+82565.8+813.1+47660.11+534+2091.143+41.857+19920.947+1613.588+609.202+46.861+42469.738+5264.372+182763.737+7706.302+15511.457+628.004+19252.186+2650.823+11954.675+1603.125+2303.911+4823.176+106.224+5622.411+185.052+35.23+61.377+1989.232+128.772+367.5+286.5</f>
        <v>475782.93599999999</v>
      </c>
      <c r="M35" s="29">
        <f>13834.028+338.496+82538.395+813.1+47660.11+533.842+2091.143+41.667+19920.947+1613.588+609.202+46.861+42469.738+5264.372+182763.737+7706.302+15511.457+628.004+19252.186+2650.823+11954.636+1603.125+2303.911+4823.16+106.223+5622.411+185.052+35.23+61.377+1989.232+128.772+261.427+286.5</f>
        <v>475649.054</v>
      </c>
      <c r="N35" s="29">
        <f>78960.6+813.1+37005.1+818.4+3231.9+64.6+39838.448+4732.452+200361.567+6418.87+19073.927+533.336+15017.579+1858.321+4887.676+106.224</f>
        <v>413722.10000000003</v>
      </c>
      <c r="O35" s="29">
        <f>78960.6+813.1+37005.1+818.4+3231.9+64.6+39838.448+4732.452+200361.567+6418.87+19073.927+533.336+15017.579+1858.321+4887.676+106.224</f>
        <v>413722.10000000003</v>
      </c>
      <c r="P35" s="65"/>
      <c r="R35" s="81">
        <f t="shared" si="1"/>
        <v>99.971860697416858</v>
      </c>
    </row>
    <row r="36" spans="1:18" ht="15.75" customHeight="1" x14ac:dyDescent="0.2">
      <c r="A36" s="106"/>
      <c r="B36" s="114"/>
      <c r="C36" s="47" t="s">
        <v>76</v>
      </c>
      <c r="D36" s="29">
        <f>74881.339+174.751+5.564+100+250+119182.796+7208.857+3755.837+130+270.066+12.668+23+1053.374-974.5+53+776.279+36901.929+3.992+379.99+29.326+600+490+0.334+1636.368</f>
        <v>246944.97</v>
      </c>
      <c r="E36" s="29">
        <f>72509.586+174.751+5.546+100+250+117876.981+7171.229+3546.668+130+262.83+10.556+23+984.28-974.5+762.526+36807.904+3.978+379.914+600+490+0.334+1628.186</f>
        <v>242743.769</v>
      </c>
      <c r="F36" s="45">
        <f>21437.934+218.164+0.954+40938.868+3054.08+104.515+730.318+2.408+9244.287+28.482+1.014+45+45.55</f>
        <v>75851.573999999993</v>
      </c>
      <c r="G36" s="45">
        <f>21437.935+218.164+0.954+40938.868+3054.08+104.515+730.318+2.408+9244.287+28.482+1.014+45+45.55</f>
        <v>75851.574999999997</v>
      </c>
      <c r="H36" s="45">
        <f>38642.324+657.283+387.664+2.881+69603.431+5187.385+668.017+1071.783+5.928+20331.397+78.434+2.065+127.9+308.05+490+0.368+28.65</f>
        <v>137593.55999999997</v>
      </c>
      <c r="I36" s="45">
        <f>38642.323+657.283+387.664+2.881+69603.431+5187.385+668.017+1071.783+5.928+20331.397+78.434+2.065+127.9+308.05+490+0.368+28.65</f>
        <v>137593.55899999998</v>
      </c>
      <c r="J36" s="45">
        <f>55219.949+585.5+813.481+1239.093+4.916+84046.468+5915.379+810.728+1768.834+197.681+16.909+26640.029+78.435+3.451+242.743+459.05+490+0.368+28.65</f>
        <v>178561.66399999999</v>
      </c>
      <c r="K36" s="45">
        <f>55216.109+585.5+813.481+1239.093+4.916+84045.928+5915.344+810.728+1768.833+197.681+16.905+26639.849+78.434+3.451+242.743+459.05+490+0.368+28.65</f>
        <v>178557.06299999999</v>
      </c>
      <c r="L36" s="29">
        <f>75695.528+585.5+1100.907+2111.895+5.796+118980.18+7937.916+775.842+1902.633+197.681+21.461+37491.821+89.93+4.477+1054.34+600+490+0.368+28.65</f>
        <v>249074.92500000002</v>
      </c>
      <c r="M36" s="29">
        <f>75623.232+585.5+1100.907+2111.888+5.779+118953.39+7936.993+775.842+1895.446+197.681+19.392+37444.853+89.93+4.144+1052.243+600+490+0.368+28.65</f>
        <v>248916.23799999995</v>
      </c>
      <c r="N36" s="29">
        <f>74560.098+5.796+119637.004+7975.193+1824.091+270.132+13.433+37344.505+4.158+600+490+367.868</f>
        <v>243092.27799999996</v>
      </c>
      <c r="O36" s="29">
        <f>74560.098+5.796+119637.004+7975.193+1824.091+270.132+13.433+37344.505+4.158+600+490+367.868</f>
        <v>243092.27799999996</v>
      </c>
      <c r="P36" s="65"/>
      <c r="R36" s="81">
        <f>M36/L36*100</f>
        <v>99.936289451858684</v>
      </c>
    </row>
    <row r="37" spans="1:18" x14ac:dyDescent="0.2">
      <c r="A37" s="106"/>
      <c r="B37" s="114"/>
      <c r="C37" s="47" t="s">
        <v>77</v>
      </c>
      <c r="D37" s="66"/>
      <c r="E37" s="66"/>
      <c r="F37" s="45"/>
      <c r="G37" s="45"/>
      <c r="H37" s="45"/>
      <c r="I37" s="45"/>
      <c r="J37" s="45"/>
      <c r="K37" s="45"/>
      <c r="L37" s="66"/>
      <c r="M37" s="66"/>
      <c r="N37" s="66"/>
      <c r="O37" s="66"/>
      <c r="P37" s="65"/>
    </row>
    <row r="38" spans="1:18" x14ac:dyDescent="0.2">
      <c r="A38" s="106"/>
      <c r="B38" s="114"/>
      <c r="C38" s="47" t="s">
        <v>49</v>
      </c>
      <c r="D38" s="66"/>
      <c r="E38" s="66"/>
      <c r="F38" s="45"/>
      <c r="G38" s="45"/>
      <c r="H38" s="45"/>
      <c r="I38" s="45"/>
      <c r="J38" s="45"/>
      <c r="K38" s="45"/>
      <c r="L38" s="66"/>
      <c r="M38" s="66"/>
      <c r="N38" s="66"/>
      <c r="O38" s="66"/>
      <c r="P38" s="65"/>
    </row>
    <row r="39" spans="1:18" x14ac:dyDescent="0.2">
      <c r="A39" s="106"/>
      <c r="B39" s="115"/>
      <c r="C39" s="47" t="s">
        <v>29</v>
      </c>
      <c r="D39" s="66"/>
      <c r="E39" s="66"/>
      <c r="F39" s="45"/>
      <c r="G39" s="45"/>
      <c r="H39" s="45"/>
      <c r="I39" s="45"/>
      <c r="J39" s="45"/>
      <c r="K39" s="45"/>
      <c r="L39" s="66"/>
      <c r="M39" s="66"/>
      <c r="N39" s="66"/>
      <c r="O39" s="66"/>
      <c r="P39" s="65"/>
    </row>
    <row r="40" spans="1:18" ht="13.5" hidden="1" customHeight="1" x14ac:dyDescent="0.2">
      <c r="A40" s="106" t="s">
        <v>42</v>
      </c>
      <c r="B40" s="106"/>
      <c r="C40" s="47" t="s">
        <v>26</v>
      </c>
      <c r="D40" s="70"/>
      <c r="E40" s="70"/>
      <c r="F40" s="69"/>
      <c r="G40" s="69"/>
      <c r="H40" s="69"/>
      <c r="I40" s="69"/>
      <c r="J40" s="69"/>
      <c r="K40" s="69"/>
      <c r="L40" s="70"/>
      <c r="M40" s="70"/>
      <c r="N40" s="70"/>
      <c r="O40" s="70"/>
      <c r="P40" s="65"/>
    </row>
    <row r="41" spans="1:18" ht="12.75" hidden="1" customHeight="1" x14ac:dyDescent="0.2">
      <c r="A41" s="106"/>
      <c r="B41" s="106"/>
      <c r="C41" s="47" t="s">
        <v>27</v>
      </c>
      <c r="D41" s="70"/>
      <c r="E41" s="70"/>
      <c r="F41" s="69"/>
      <c r="G41" s="69"/>
      <c r="H41" s="69"/>
      <c r="I41" s="69"/>
      <c r="J41" s="69"/>
      <c r="K41" s="69"/>
      <c r="L41" s="70"/>
      <c r="M41" s="70"/>
      <c r="N41" s="70"/>
      <c r="O41" s="70"/>
      <c r="P41" s="65"/>
    </row>
    <row r="42" spans="1:18" ht="12.75" hidden="1" customHeight="1" x14ac:dyDescent="0.2">
      <c r="A42" s="106"/>
      <c r="B42" s="106"/>
      <c r="C42" s="47" t="s">
        <v>44</v>
      </c>
      <c r="D42" s="70"/>
      <c r="E42" s="70"/>
      <c r="F42" s="69"/>
      <c r="G42" s="69"/>
      <c r="H42" s="69"/>
      <c r="I42" s="69"/>
      <c r="J42" s="69"/>
      <c r="K42" s="69"/>
      <c r="L42" s="70"/>
      <c r="M42" s="70"/>
      <c r="N42" s="70"/>
      <c r="O42" s="70"/>
      <c r="P42" s="65"/>
    </row>
    <row r="43" spans="1:18" ht="12.75" hidden="1" customHeight="1" x14ac:dyDescent="0.2">
      <c r="A43" s="106"/>
      <c r="B43" s="106"/>
      <c r="C43" s="47" t="s">
        <v>28</v>
      </c>
      <c r="D43" s="70"/>
      <c r="E43" s="70"/>
      <c r="F43" s="69"/>
      <c r="G43" s="69"/>
      <c r="H43" s="69"/>
      <c r="I43" s="69"/>
      <c r="J43" s="69"/>
      <c r="K43" s="69"/>
      <c r="L43" s="70"/>
      <c r="M43" s="70"/>
      <c r="N43" s="70"/>
      <c r="O43" s="70"/>
      <c r="P43" s="65"/>
    </row>
    <row r="44" spans="1:18" ht="12.75" hidden="1" customHeight="1" x14ac:dyDescent="0.2">
      <c r="A44" s="106"/>
      <c r="B44" s="106"/>
      <c r="C44" s="47" t="s">
        <v>76</v>
      </c>
      <c r="D44" s="70"/>
      <c r="E44" s="70"/>
      <c r="F44" s="69"/>
      <c r="G44" s="69"/>
      <c r="H44" s="69"/>
      <c r="I44" s="69"/>
      <c r="J44" s="69"/>
      <c r="K44" s="69"/>
      <c r="L44" s="70"/>
      <c r="M44" s="70"/>
      <c r="N44" s="70"/>
      <c r="O44" s="70"/>
      <c r="P44" s="65"/>
    </row>
    <row r="45" spans="1:18" ht="12.75" hidden="1" customHeight="1" x14ac:dyDescent="0.2">
      <c r="A45" s="106"/>
      <c r="B45" s="106"/>
      <c r="C45" s="47" t="s">
        <v>77</v>
      </c>
      <c r="D45" s="70"/>
      <c r="E45" s="70"/>
      <c r="F45" s="69"/>
      <c r="G45" s="69"/>
      <c r="H45" s="69"/>
      <c r="I45" s="69"/>
      <c r="J45" s="69"/>
      <c r="K45" s="69"/>
      <c r="L45" s="70"/>
      <c r="M45" s="70"/>
      <c r="N45" s="70"/>
      <c r="O45" s="70"/>
      <c r="P45" s="65"/>
    </row>
    <row r="46" spans="1:18" ht="12.75" hidden="1" customHeight="1" x14ac:dyDescent="0.2">
      <c r="A46" s="106"/>
      <c r="B46" s="106"/>
      <c r="C46" s="47" t="s">
        <v>49</v>
      </c>
      <c r="D46" s="70"/>
      <c r="E46" s="70"/>
      <c r="F46" s="69"/>
      <c r="G46" s="69"/>
      <c r="H46" s="69"/>
      <c r="I46" s="69"/>
      <c r="J46" s="69"/>
      <c r="K46" s="69"/>
      <c r="L46" s="70"/>
      <c r="M46" s="70"/>
      <c r="N46" s="70"/>
      <c r="O46" s="70"/>
      <c r="P46" s="65"/>
    </row>
    <row r="47" spans="1:18" ht="12.75" hidden="1" customHeight="1" x14ac:dyDescent="0.2">
      <c r="A47" s="106"/>
      <c r="B47" s="106"/>
      <c r="C47" s="47" t="s">
        <v>29</v>
      </c>
      <c r="D47" s="70"/>
      <c r="E47" s="70"/>
      <c r="F47" s="69"/>
      <c r="G47" s="69"/>
      <c r="H47" s="69"/>
      <c r="I47" s="69"/>
      <c r="J47" s="69"/>
      <c r="K47" s="69"/>
      <c r="L47" s="70"/>
      <c r="M47" s="70"/>
      <c r="N47" s="70"/>
      <c r="O47" s="70"/>
      <c r="P47" s="65"/>
    </row>
    <row r="48" spans="1:18" x14ac:dyDescent="0.2"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2"/>
    </row>
    <row r="49" spans="1:16" x14ac:dyDescent="0.2">
      <c r="D49" s="72"/>
      <c r="E49" s="72"/>
      <c r="F49" s="73"/>
      <c r="G49" s="73"/>
      <c r="H49" s="73"/>
      <c r="I49" s="73"/>
      <c r="J49" s="73"/>
      <c r="K49" s="73"/>
      <c r="L49" s="72"/>
      <c r="M49" s="72"/>
      <c r="N49" s="72"/>
      <c r="O49" s="72"/>
      <c r="P49" s="72"/>
    </row>
    <row r="50" spans="1:16" ht="38.25" customHeight="1" x14ac:dyDescent="0.25">
      <c r="A50" s="90" t="s">
        <v>266</v>
      </c>
      <c r="B50" s="90"/>
      <c r="C50" s="90"/>
      <c r="D50" s="90"/>
      <c r="E50" s="90"/>
      <c r="F50" s="90"/>
      <c r="G50" s="90"/>
      <c r="H50" s="90"/>
      <c r="M50" s="99" t="s">
        <v>267</v>
      </c>
      <c r="N50" s="99"/>
      <c r="O50" s="99"/>
    </row>
    <row r="51" spans="1:16" x14ac:dyDescent="0.2">
      <c r="D51" s="75"/>
      <c r="E51" s="75"/>
      <c r="I51" s="74"/>
      <c r="J51" s="74"/>
      <c r="K51" s="74"/>
      <c r="L51" s="75"/>
      <c r="M51" s="75"/>
      <c r="N51" s="75"/>
      <c r="O51" s="75"/>
      <c r="P51" s="75"/>
    </row>
    <row r="52" spans="1:16" x14ac:dyDescent="0.2">
      <c r="D52" s="72"/>
      <c r="E52" s="72"/>
      <c r="I52" s="72"/>
      <c r="J52" s="72"/>
      <c r="K52" s="72"/>
      <c r="L52" s="72"/>
      <c r="M52" s="72"/>
      <c r="N52" s="72"/>
      <c r="O52" s="72"/>
      <c r="P52" s="72"/>
    </row>
    <row r="53" spans="1:16" x14ac:dyDescent="0.2">
      <c r="D53" s="72"/>
      <c r="E53" s="72"/>
      <c r="I53" s="72"/>
      <c r="J53" s="72"/>
      <c r="K53" s="72"/>
      <c r="L53" s="72"/>
      <c r="M53" s="72"/>
      <c r="N53" s="72"/>
      <c r="O53" s="72"/>
      <c r="P53" s="72"/>
    </row>
    <row r="54" spans="1:16" x14ac:dyDescent="0.2">
      <c r="A54" s="27" t="s">
        <v>243</v>
      </c>
      <c r="D54" s="72"/>
      <c r="E54" s="72"/>
      <c r="I54" s="72"/>
      <c r="J54" s="72"/>
      <c r="K54" s="72"/>
      <c r="L54" s="72"/>
      <c r="M54" s="72"/>
      <c r="N54" s="72"/>
      <c r="O54" s="72"/>
      <c r="P54" s="72"/>
    </row>
    <row r="55" spans="1:16" x14ac:dyDescent="0.2">
      <c r="A55" s="27" t="s">
        <v>244</v>
      </c>
      <c r="D55" s="72"/>
      <c r="E55" s="72"/>
      <c r="I55" s="72"/>
      <c r="J55" s="72"/>
      <c r="K55" s="72"/>
      <c r="L55" s="72"/>
      <c r="M55" s="72"/>
      <c r="N55" s="72"/>
      <c r="O55" s="72"/>
      <c r="P55" s="72"/>
    </row>
    <row r="56" spans="1:16" x14ac:dyDescent="0.2"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</row>
    <row r="57" spans="1:16" x14ac:dyDescent="0.2">
      <c r="F57" s="72"/>
      <c r="G57" s="72"/>
      <c r="H57" s="72"/>
      <c r="I57" s="72"/>
      <c r="J57" s="72"/>
      <c r="K57" s="72"/>
    </row>
    <row r="59" spans="1:16" ht="26.25" customHeight="1" x14ac:dyDescent="0.2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</sheetData>
  <mergeCells count="26">
    <mergeCell ref="F5:M5"/>
    <mergeCell ref="F6:G6"/>
    <mergeCell ref="A32:A39"/>
    <mergeCell ref="B32:B39"/>
    <mergeCell ref="B24:B31"/>
    <mergeCell ref="L6:M6"/>
    <mergeCell ref="A16:A23"/>
    <mergeCell ref="B16:B23"/>
    <mergeCell ref="A24:A31"/>
    <mergeCell ref="N1:P1"/>
    <mergeCell ref="N2:P2"/>
    <mergeCell ref="A5:A7"/>
    <mergeCell ref="B5:B7"/>
    <mergeCell ref="C5:C7"/>
    <mergeCell ref="P5:P7"/>
    <mergeCell ref="A3:P3"/>
    <mergeCell ref="N5:O6"/>
    <mergeCell ref="H6:I6"/>
    <mergeCell ref="J6:K6"/>
    <mergeCell ref="M50:O50"/>
    <mergeCell ref="D6:E6"/>
    <mergeCell ref="B8:B15"/>
    <mergeCell ref="A8:A15"/>
    <mergeCell ref="A40:A47"/>
    <mergeCell ref="B40:B47"/>
    <mergeCell ref="A50:H50"/>
  </mergeCells>
  <conditionalFormatting sqref="D8:O39">
    <cfRule type="cellIs" dxfId="4" priority="5" stopIfTrue="1" operator="equal">
      <formula>0</formula>
    </cfRule>
  </conditionalFormatting>
  <conditionalFormatting sqref="D8:E39 F11:M12 F10:L10 M10:M12 D28:O28">
    <cfRule type="cellIs" dxfId="3" priority="4" stopIfTrue="1" operator="equal">
      <formula>0</formula>
    </cfRule>
  </conditionalFormatting>
  <conditionalFormatting sqref="N10:O12">
    <cfRule type="cellIs" dxfId="2" priority="3" stopIfTrue="1" operator="equal">
      <formula>0</formula>
    </cfRule>
  </conditionalFormatting>
  <conditionalFormatting sqref="F27:L27">
    <cfRule type="cellIs" dxfId="1" priority="2" stopIfTrue="1" operator="equal">
      <formula>0</formula>
    </cfRule>
  </conditionalFormatting>
  <conditionalFormatting sqref="D27">
    <cfRule type="cellIs" dxfId="0" priority="1" stopIfTrue="1" operator="equal">
      <formula>0</formula>
    </cfRule>
  </conditionalFormatting>
  <pageMargins left="0.63" right="0.21" top="0.39" bottom="0.37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topLeftCell="A4" zoomScaleNormal="100" zoomScaleSheetLayoutView="100" workbookViewId="0">
      <selection activeCell="A25" sqref="A25:IV25"/>
    </sheetView>
  </sheetViews>
  <sheetFormatPr defaultRowHeight="12.75" x14ac:dyDescent="0.2"/>
  <cols>
    <col min="1" max="1" width="5.85546875" style="12" customWidth="1"/>
    <col min="2" max="2" width="18.85546875" style="12" customWidth="1"/>
    <col min="3" max="3" width="10.7109375" style="12" customWidth="1"/>
    <col min="4" max="4" width="11.5703125" style="12" customWidth="1"/>
    <col min="5" max="5" width="12.5703125" style="12" customWidth="1"/>
    <col min="6" max="6" width="8.7109375" style="12" customWidth="1"/>
    <col min="7" max="7" width="9.140625" style="12"/>
    <col min="8" max="8" width="9.5703125" style="12" customWidth="1"/>
    <col min="9" max="16384" width="9.140625" style="12"/>
  </cols>
  <sheetData>
    <row r="1" spans="1:16" ht="18" customHeight="1" x14ac:dyDescent="0.25">
      <c r="M1" s="124" t="s">
        <v>51</v>
      </c>
      <c r="N1" s="124"/>
      <c r="O1" s="124"/>
      <c r="P1" s="124"/>
    </row>
    <row r="2" spans="1:16" ht="57" customHeight="1" x14ac:dyDescent="0.25">
      <c r="M2" s="132" t="s">
        <v>75</v>
      </c>
      <c r="N2" s="132"/>
      <c r="O2" s="132"/>
      <c r="P2" s="132"/>
    </row>
    <row r="3" spans="1:16" ht="18.75" customHeight="1" x14ac:dyDescent="0.25">
      <c r="O3" s="20"/>
      <c r="P3" s="20"/>
    </row>
    <row r="4" spans="1:16" ht="21" customHeight="1" x14ac:dyDescent="0.2">
      <c r="A4" s="125" t="s">
        <v>80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</row>
    <row r="5" spans="1:16" ht="27" customHeight="1" x14ac:dyDescent="0.25">
      <c r="A5" s="13"/>
      <c r="B5" s="13"/>
      <c r="C5" s="13"/>
      <c r="D5" s="13"/>
      <c r="E5" s="13"/>
      <c r="F5" s="13"/>
      <c r="G5" s="13"/>
      <c r="H5" s="126" t="s">
        <v>15</v>
      </c>
      <c r="I5" s="127"/>
      <c r="J5" s="127"/>
      <c r="K5" s="127"/>
      <c r="L5" s="127"/>
      <c r="M5" s="127"/>
      <c r="N5" s="127"/>
      <c r="O5" s="127"/>
      <c r="P5" s="127"/>
    </row>
    <row r="6" spans="1:16" ht="20.25" customHeight="1" x14ac:dyDescent="0.25">
      <c r="A6" s="13"/>
      <c r="B6" s="13"/>
      <c r="C6" s="13"/>
      <c r="D6" s="13"/>
      <c r="E6" s="13"/>
      <c r="F6" s="13"/>
      <c r="G6" s="13"/>
      <c r="H6" s="128" t="s">
        <v>69</v>
      </c>
      <c r="I6" s="129"/>
      <c r="J6" s="129"/>
      <c r="K6" s="129"/>
      <c r="L6" s="129"/>
      <c r="M6" s="129"/>
      <c r="N6" s="129"/>
      <c r="O6" s="129"/>
      <c r="P6" s="129"/>
    </row>
    <row r="7" spans="1:16" ht="28.5" customHeight="1" x14ac:dyDescent="0.2">
      <c r="O7" s="12" t="s">
        <v>13</v>
      </c>
    </row>
    <row r="8" spans="1:16" customFormat="1" ht="12.75" customHeight="1" x14ac:dyDescent="0.2">
      <c r="A8" s="130" t="s">
        <v>54</v>
      </c>
      <c r="B8" s="130" t="s">
        <v>55</v>
      </c>
      <c r="C8" s="130" t="s">
        <v>56</v>
      </c>
      <c r="D8" s="130" t="s">
        <v>78</v>
      </c>
      <c r="E8" s="130" t="s">
        <v>68</v>
      </c>
      <c r="F8" s="130" t="s">
        <v>57</v>
      </c>
      <c r="G8" s="134"/>
      <c r="H8" s="130" t="s">
        <v>58</v>
      </c>
      <c r="I8" s="130"/>
      <c r="J8" s="130"/>
      <c r="K8" s="130"/>
      <c r="L8" s="130"/>
      <c r="M8" s="130"/>
      <c r="N8" s="131" t="s">
        <v>59</v>
      </c>
      <c r="O8" s="131"/>
      <c r="P8" s="131"/>
    </row>
    <row r="9" spans="1:16" customFormat="1" ht="26.25" customHeight="1" x14ac:dyDescent="0.2">
      <c r="A9" s="130"/>
      <c r="B9" s="130"/>
      <c r="C9" s="130"/>
      <c r="D9" s="130"/>
      <c r="E9" s="130"/>
      <c r="F9" s="134"/>
      <c r="G9" s="134"/>
      <c r="H9" s="130"/>
      <c r="I9" s="130"/>
      <c r="J9" s="130"/>
      <c r="K9" s="130"/>
      <c r="L9" s="130"/>
      <c r="M9" s="130"/>
      <c r="N9" s="131"/>
      <c r="O9" s="131"/>
      <c r="P9" s="131"/>
    </row>
    <row r="10" spans="1:16" customFormat="1" ht="47.25" customHeight="1" x14ac:dyDescent="0.2">
      <c r="A10" s="133"/>
      <c r="B10" s="133"/>
      <c r="C10" s="133"/>
      <c r="D10" s="133"/>
      <c r="E10" s="133"/>
      <c r="F10" s="24" t="s">
        <v>60</v>
      </c>
      <c r="G10" s="25" t="s">
        <v>61</v>
      </c>
      <c r="H10" s="24" t="s">
        <v>62</v>
      </c>
      <c r="I10" s="24" t="s">
        <v>63</v>
      </c>
      <c r="J10" s="24" t="s">
        <v>64</v>
      </c>
      <c r="K10" s="24" t="s">
        <v>65</v>
      </c>
      <c r="L10" s="24" t="s">
        <v>14</v>
      </c>
      <c r="M10" s="24" t="s">
        <v>66</v>
      </c>
      <c r="N10" s="24" t="s">
        <v>67</v>
      </c>
      <c r="O10" s="24" t="s">
        <v>64</v>
      </c>
      <c r="P10" s="24" t="s">
        <v>14</v>
      </c>
    </row>
    <row r="11" spans="1:16" ht="15" customHeight="1" x14ac:dyDescent="0.2">
      <c r="A11" s="26">
        <v>1</v>
      </c>
      <c r="B11" s="26">
        <v>2</v>
      </c>
      <c r="C11" s="26">
        <v>3</v>
      </c>
      <c r="D11" s="26">
        <v>4</v>
      </c>
      <c r="E11" s="26">
        <v>5</v>
      </c>
      <c r="F11" s="26">
        <v>7</v>
      </c>
      <c r="G11" s="26">
        <v>8</v>
      </c>
      <c r="H11" s="26">
        <v>9</v>
      </c>
      <c r="I11" s="26">
        <v>10</v>
      </c>
      <c r="J11" s="26">
        <v>11</v>
      </c>
      <c r="K11" s="26">
        <v>12</v>
      </c>
      <c r="L11" s="26">
        <v>13</v>
      </c>
      <c r="M11" s="26">
        <v>14</v>
      </c>
      <c r="N11" s="26">
        <v>15</v>
      </c>
      <c r="O11" s="26">
        <v>16</v>
      </c>
      <c r="P11" s="26">
        <v>17</v>
      </c>
    </row>
    <row r="12" spans="1:16" ht="19.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8.75" customHeight="1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8.75" customHeight="1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9.5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8.7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9.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20.2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9.5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39.75" customHeight="1" x14ac:dyDescent="0.2">
      <c r="A20" s="14"/>
      <c r="B20" s="23" t="s">
        <v>24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24.75" customHeight="1" x14ac:dyDescent="0.2">
      <c r="A21" s="15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5" spans="1:16" s="27" customFormat="1" ht="38.25" customHeight="1" x14ac:dyDescent="0.25">
      <c r="A25" s="90" t="s">
        <v>266</v>
      </c>
      <c r="B25" s="90"/>
      <c r="C25" s="90"/>
      <c r="D25" s="90"/>
      <c r="E25" s="90"/>
      <c r="F25" s="90"/>
      <c r="G25" s="90"/>
      <c r="H25" s="90"/>
      <c r="M25" s="99" t="s">
        <v>267</v>
      </c>
      <c r="N25" s="99"/>
      <c r="O25" s="99"/>
    </row>
    <row r="26" spans="1:16" s="17" customFormat="1" ht="15.75" x14ac:dyDescent="0.25">
      <c r="B26" s="21"/>
      <c r="C26" s="21"/>
      <c r="D26" s="21"/>
      <c r="E26" s="21"/>
      <c r="G26" s="21"/>
      <c r="H26" s="21"/>
      <c r="I26" s="21"/>
      <c r="J26" s="21"/>
      <c r="K26" s="21"/>
      <c r="L26" s="21"/>
      <c r="M26" s="21"/>
      <c r="O26" s="21"/>
      <c r="P26" s="21"/>
    </row>
    <row r="27" spans="1:16" s="17" customFormat="1" ht="15.75" x14ac:dyDescent="0.25">
      <c r="B27" s="21"/>
      <c r="C27" s="21"/>
      <c r="D27" s="21"/>
      <c r="E27" s="21"/>
      <c r="G27" s="21"/>
      <c r="H27" s="21"/>
      <c r="I27" s="21"/>
      <c r="J27" s="21"/>
      <c r="K27" s="21"/>
      <c r="L27" s="21"/>
      <c r="M27" s="21"/>
      <c r="O27" s="21"/>
      <c r="P27" s="21"/>
    </row>
  </sheetData>
  <mergeCells count="16">
    <mergeCell ref="A8:A10"/>
    <mergeCell ref="B8:B10"/>
    <mergeCell ref="C8:C10"/>
    <mergeCell ref="D8:D10"/>
    <mergeCell ref="E8:E10"/>
    <mergeCell ref="F8:G9"/>
    <mergeCell ref="A25:H25"/>
    <mergeCell ref="O1:P1"/>
    <mergeCell ref="A4:P4"/>
    <mergeCell ref="H5:P5"/>
    <mergeCell ref="H6:P6"/>
    <mergeCell ref="H8:M9"/>
    <mergeCell ref="N8:P9"/>
    <mergeCell ref="M25:O25"/>
    <mergeCell ref="M1:N1"/>
    <mergeCell ref="M2:P2"/>
  </mergeCells>
  <phoneticPr fontId="1" type="noConversion"/>
  <pageMargins left="1.05" right="0.78740157480314965" top="0.78740157480314965" bottom="0.59055118110236227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8 показатели </vt:lpstr>
      <vt:lpstr>9 средства по кодам</vt:lpstr>
      <vt:lpstr>10 средства бюджет</vt:lpstr>
      <vt:lpstr>11 Инвестиц П</vt:lpstr>
      <vt:lpstr>'10 средства бюджет'!Область_печати</vt:lpstr>
      <vt:lpstr>'11 Инвестиц П'!Область_печати</vt:lpstr>
      <vt:lpstr>'8 показатели '!Область_печати</vt:lpstr>
      <vt:lpstr>'9 средства по кодам'!Область_печати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verhoturova</dc:creator>
  <cp:lastModifiedBy>MEV</cp:lastModifiedBy>
  <cp:lastPrinted>2020-02-04T07:27:08Z</cp:lastPrinted>
  <dcterms:created xsi:type="dcterms:W3CDTF">2007-07-17T01:27:34Z</dcterms:created>
  <dcterms:modified xsi:type="dcterms:W3CDTF">2021-03-17T06:34:56Z</dcterms:modified>
</cp:coreProperties>
</file>